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240" yWindow="105" windowWidth="14805" windowHeight="8010" firstSheet="1" activeTab="4"/>
  </bookViews>
  <sheets>
    <sheet name="Тепловая энергия" sheetId="2" r:id="rId1"/>
    <sheet name="Т-6 (коллектора)" sheetId="3" r:id="rId2"/>
    <sheet name="Т-15(коллектора)" sheetId="4" r:id="rId3"/>
    <sheet name="Теплоноситель" sheetId="5" r:id="rId4"/>
    <sheet name="Услуги по передаче ТЭ,ТН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nscount" hidden="1">1</definedName>
    <definedName name="buhg_flag" localSheetId="2">[1]Титульный!$F$36</definedName>
    <definedName name="buhg_flag" localSheetId="1">[2]Титульный!$F$36</definedName>
    <definedName name="buhg_flag" localSheetId="3">[3]Титульный!$F$36</definedName>
    <definedName name="buhg_flag" localSheetId="4">[5]Титульный!$F$36</definedName>
    <definedName name="buhg_flag">[4]Титульный!$F$36</definedName>
    <definedName name="CHECK_LINK_RANGE_1">"Калькуляция!$I$11:$I$132"</definedName>
    <definedName name="checkCell_List01" localSheetId="2">'Т-15(коллектора)'!$D$24:$I$110</definedName>
    <definedName name="checkCell_List01" localSheetId="1">'Т-6 (коллектора)'!$D$24:$I$110</definedName>
    <definedName name="checkCell_List01" localSheetId="3">Теплоноситель!$D$24:$I$121</definedName>
    <definedName name="checkCell_List01" localSheetId="4">'Услуги по передаче ТЭ,ТН'!$D$24:$I$104</definedName>
    <definedName name="checkCell_List01">'Тепловая энергия'!$D$24:$I$196</definedName>
    <definedName name="data_type" localSheetId="2">[1]TEHSHEET!$M$2:$M$3</definedName>
    <definedName name="data_type" localSheetId="1">[2]TEHSHEET!$M$2:$M$3</definedName>
    <definedName name="data_type" localSheetId="3">[3]TEHSHEET!$M$2:$M$3</definedName>
    <definedName name="data_type" localSheetId="4">[5]TEHSHEET!$M$2:$M$3</definedName>
    <definedName name="data_type">[4]TEHSHEET!$M$2:$M$3</definedName>
    <definedName name="dateBuhg" localSheetId="2">[1]Титульный!$F$37</definedName>
    <definedName name="dateBuhg" localSheetId="1">[2]Титульный!$F$37</definedName>
    <definedName name="dateBuhg" localSheetId="3">[3]Титульный!$F$37</definedName>
    <definedName name="dateBuhg" localSheetId="4">[5]Титульный!$F$37</definedName>
    <definedName name="dateBuhg">[4]Титульный!$F$37</definedName>
    <definedName name="DESCRIPTION_TERRITORY" localSheetId="2">[1]REESTR_DS!$B$2:$B$3</definedName>
    <definedName name="DESCRIPTION_TERRITORY" localSheetId="1">[2]REESTR_DS!$B$2:$B$3</definedName>
    <definedName name="DESCRIPTION_TERRITORY" localSheetId="3">[3]REESTR_DS!$B$2:$B$3</definedName>
    <definedName name="DESCRIPTION_TERRITORY" localSheetId="4">[5]REESTR_DS!$B$2:$B$3</definedName>
    <definedName name="DESCRIPTION_TERRITORY">[4]REESTR_DS!$B$2:$B$3</definedName>
    <definedName name="et_hor_List01_2" localSheetId="2">'Т-15(коллектора)'!$2:$2</definedName>
    <definedName name="et_hor_List01_2" localSheetId="1">'Т-6 (коллектора)'!$2:$2</definedName>
    <definedName name="et_hor_List01_2" localSheetId="3">Теплоноситель!$2:$2</definedName>
    <definedName name="et_hor_List01_2" localSheetId="4">'Услуги по передаче ТЭ,ТН'!$2:$2</definedName>
    <definedName name="et_hor_List01_2">'Тепловая энергия'!$2:$2</definedName>
    <definedName name="et_hor_List01_3" localSheetId="2">'Т-15(коллектора)'!$6:$11</definedName>
    <definedName name="et_hor_List01_3" localSheetId="1">'Т-6 (коллектора)'!$6:$11</definedName>
    <definedName name="et_hor_List01_3" localSheetId="3">Теплоноситель!$6:$11</definedName>
    <definedName name="et_hor_List01_3" localSheetId="4">'Услуги по передаче ТЭ,ТН'!$6:$11</definedName>
    <definedName name="et_hor_List01_3">'Тепловая энергия'!$6:$11</definedName>
    <definedName name="et_hor_List01_4" localSheetId="2">'Т-15(коллектора)'!$4:$4</definedName>
    <definedName name="et_hor_List01_4" localSheetId="1">'Т-6 (коллектора)'!$4:$4</definedName>
    <definedName name="et_hor_List01_4" localSheetId="3">Теплоноситель!$4:$4</definedName>
    <definedName name="et_hor_List01_4" localSheetId="4">'Услуги по передаче ТЭ,ТН'!$4:$4</definedName>
    <definedName name="et_hor_List01_4">'Тепловая энергия'!$4:$4</definedName>
    <definedName name="et_hor_List01_5" localSheetId="2">'Т-15(коллектора)'!$13:$13</definedName>
    <definedName name="et_hor_List01_5" localSheetId="1">'Т-6 (коллектора)'!$13:$13</definedName>
    <definedName name="et_hor_List01_5" localSheetId="3">Теплоноситель!$13:$13</definedName>
    <definedName name="et_hor_List01_5" localSheetId="4">'Услуги по передаче ТЭ,ТН'!$13:$13</definedName>
    <definedName name="et_hor_List01_5">'Тепловая энергия'!$13:$13</definedName>
    <definedName name="et_hor_List01_6" localSheetId="2">'Т-15(коллектора)'!$15:$15</definedName>
    <definedName name="et_hor_List01_6" localSheetId="1">'Т-6 (коллектора)'!$15:$15</definedName>
    <definedName name="et_hor_List01_6" localSheetId="3">Теплоноситель!$15:$15</definedName>
    <definedName name="et_hor_List01_6" localSheetId="4">'Услуги по передаче ТЭ,ТН'!$15:$15</definedName>
    <definedName name="et_hor_List01_6">'Тепловая энергия'!$15:$15</definedName>
    <definedName name="et_hor_List01_7" localSheetId="2">'Т-15(коллектора)'!$17:$17</definedName>
    <definedName name="et_hor_List01_7" localSheetId="1">'Т-6 (коллектора)'!$17:$17</definedName>
    <definedName name="et_hor_List01_7" localSheetId="3">Теплоноситель!$17:$17</definedName>
    <definedName name="et_hor_List01_7" localSheetId="4">'Услуги по передаче ТЭ,ТН'!$17:$17</definedName>
    <definedName name="et_hor_List01_7">'Тепловая энергия'!$17:$17</definedName>
    <definedName name="et_ver_List01_1" localSheetId="2">'Т-15(коллектора)'!$G:$G</definedName>
    <definedName name="et_ver_List01_1" localSheetId="1">'Т-6 (коллектора)'!$G:$G</definedName>
    <definedName name="et_ver_List01_1" localSheetId="3">Теплоноситель!$G:$G</definedName>
    <definedName name="et_ver_List01_1" localSheetId="4">'Услуги по передаче ТЭ,ТН'!$G:$G</definedName>
    <definedName name="et_ver_List01_1">'Тепловая энергия'!$G:$G</definedName>
    <definedName name="f_year" localSheetId="2">[1]Титульный!$F$20</definedName>
    <definedName name="f_year" localSheetId="1">[2]Титульный!$F$20</definedName>
    <definedName name="f_year" localSheetId="3">[3]Титульный!$F$20</definedName>
    <definedName name="f_year" localSheetId="4">[5]Титульный!$F$20</definedName>
    <definedName name="f_year">[4]Титульный!$F$20</definedName>
    <definedName name="form_up_date" localSheetId="2">[1]Титульный!$F$14</definedName>
    <definedName name="form_up_date" localSheetId="1">[2]Титульный!$F$14</definedName>
    <definedName name="form_up_date" localSheetId="3">[3]Титульный!$F$14</definedName>
    <definedName name="form_up_date" localSheetId="4">[5]Титульный!$F$14</definedName>
    <definedName name="form_up_date">[4]Титульный!$F$14</definedName>
    <definedName name="kind_of_forms" localSheetId="2">[1]TEHSHEET!$S$2:$S$7</definedName>
    <definedName name="kind_of_forms" localSheetId="1">[2]TEHSHEET!$S$2:$S$7</definedName>
    <definedName name="kind_of_forms" localSheetId="3">[3]TEHSHEET!$S$2:$S$7</definedName>
    <definedName name="kind_of_forms" localSheetId="4">[5]TEHSHEET!$S$2:$S$7</definedName>
    <definedName name="kind_of_forms">[4]TEHSHEET!$S$2:$S$7</definedName>
    <definedName name="kind_of_fuels" localSheetId="2">[1]TEHSHEET!$AB$2:$AB$29</definedName>
    <definedName name="kind_of_fuels" localSheetId="1">[2]TEHSHEET!$AB$2:$AB$29</definedName>
    <definedName name="kind_of_fuels" localSheetId="3">[3]TEHSHEET!$AB$2:$AB$29</definedName>
    <definedName name="kind_of_fuels" localSheetId="4">[5]TEHSHEET!$AB$2:$AB$29</definedName>
    <definedName name="kind_of_fuels">[4]TEHSHEET!$AB$2:$AB$29</definedName>
    <definedName name="kind_of_nameforms" localSheetId="2">[1]TEHSHEET!$T$2:$T$7</definedName>
    <definedName name="kind_of_nameforms" localSheetId="1">[2]TEHSHEET!$T$2:$T$7</definedName>
    <definedName name="kind_of_nameforms" localSheetId="3">[3]TEHSHEET!$T$2:$T$7</definedName>
    <definedName name="kind_of_nameforms" localSheetId="4">[5]TEHSHEET!$T$2:$T$7</definedName>
    <definedName name="kind_of_nameforms">[4]TEHSHEET!$T$2:$T$7</definedName>
    <definedName name="kind_of_purchase_method" localSheetId="2">[1]TEHSHEET!$P$2:$P$4</definedName>
    <definedName name="kind_of_purchase_method" localSheetId="1">[2]TEHSHEET!$P$2:$P$4</definedName>
    <definedName name="kind_of_purchase_method" localSheetId="3">[3]TEHSHEET!$P$2:$P$4</definedName>
    <definedName name="kind_of_purchase_method" localSheetId="4">[5]TEHSHEET!$P$2:$P$4</definedName>
    <definedName name="kind_of_purchase_method">[4]TEHSHEET!$P$2:$P$4</definedName>
    <definedName name="List_01_prov" localSheetId="2">'Т-15(коллектора)'!$G$115:$I$115</definedName>
    <definedName name="List_01_prov" localSheetId="1">'Т-6 (коллектора)'!$G$115:$I$115</definedName>
    <definedName name="List_01_prov" localSheetId="3">Теплоноситель!$G$126:$I$126</definedName>
    <definedName name="List_01_prov" localSheetId="4">'Услуги по передаче ТЭ,ТН'!$G$109:$I$109</definedName>
    <definedName name="List_01_prov">'Тепловая энергия'!$G$201:$I$201</definedName>
    <definedName name="List01_2_reserve" localSheetId="2">'Т-15(коллектора)'!$G$67:$I$70</definedName>
    <definedName name="List01_2_reserve" localSheetId="1">'Т-6 (коллектора)'!$G$67:$I$70</definedName>
    <definedName name="List01_2_reserve" localSheetId="3">Теплоноситель!$G$61:$I$64</definedName>
    <definedName name="List01_2_reserve" localSheetId="4">'Услуги по передаче ТЭ,ТН'!$G$61:$I$64</definedName>
    <definedName name="List01_2_reserve">'Тепловая энергия'!$G$73:$I$76</definedName>
    <definedName name="List01_3_reserve" localSheetId="2">'Т-15(коллектора)'!$G$33:$H$44</definedName>
    <definedName name="List01_3_reserve" localSheetId="1">'Т-6 (коллектора)'!$G$33:$H$44</definedName>
    <definedName name="List01_3_reserve" localSheetId="3">Теплоноситель!$G$33:$H$38</definedName>
    <definedName name="List01_3_reserve" localSheetId="4">'Услуги по передаче ТЭ,ТН'!$G$33:$H$38</definedName>
    <definedName name="List01_3_reserve">'Тепловая энергия'!$G$33:$H$50</definedName>
    <definedName name="List01_4_reserve" localSheetId="2">'Т-15(коллектора)'!$G$96:$I$97</definedName>
    <definedName name="List01_4_reserve" localSheetId="1">'Т-6 (коллектора)'!$G$96:$I$97</definedName>
    <definedName name="List01_4_reserve" localSheetId="3">Теплоноситель!$G$107:$I$108</definedName>
    <definedName name="List01_4_reserve" localSheetId="4">'Услуги по передаче ТЭ,ТН'!$G$90:$I$91</definedName>
    <definedName name="List01_4_reserve">'Тепловая энергия'!$G$122:$I$143</definedName>
    <definedName name="List01_5_reserve" localSheetId="2">'Т-15(коллектора)'!$G$99:$I$100</definedName>
    <definedName name="List01_5_reserve" localSheetId="1">'Т-6 (коллектора)'!$G$99:$I$100</definedName>
    <definedName name="List01_5_reserve" localSheetId="3">Теплоноситель!$G$110:$I$111</definedName>
    <definedName name="List01_5_reserve" localSheetId="4">'Услуги по передаче ТЭ,ТН'!$G$93:$I$94</definedName>
    <definedName name="List01_5_reserve">'Тепловая энергия'!$G$145:$I$166</definedName>
    <definedName name="List01_6_reserve" localSheetId="2">'Т-15(коллектора)'!$G$102:$I$103</definedName>
    <definedName name="List01_6_reserve" localSheetId="1">'Т-6 (коллектора)'!$G$102:$I$103</definedName>
    <definedName name="List01_6_reserve" localSheetId="3">Теплоноситель!$G$113:$I$114</definedName>
    <definedName name="List01_6_reserve" localSheetId="4">'Услуги по передаче ТЭ,ТН'!$G$96:$I$97</definedName>
    <definedName name="List01_6_reserve">'Тепловая энергия'!$G$168:$I$189</definedName>
    <definedName name="List01_7_reserve" localSheetId="2">'Т-15(коллектора)'!$G$81:$I$82</definedName>
    <definedName name="List01_7_reserve" localSheetId="1">'Т-6 (коллектора)'!$G$81:$I$82</definedName>
    <definedName name="List01_7_reserve" localSheetId="3">Теплоноситель!$G$75:$I$93</definedName>
    <definedName name="List01_7_reserve" localSheetId="4">'Услуги по передаче ТЭ,ТН'!$G$75:$I$76</definedName>
    <definedName name="List01_7_reserve">'Тепловая энергия'!$G$87:$I$108</definedName>
    <definedName name="List01_CheckC" localSheetId="2">'Т-15(коллектора)'!$E$28:$H$110</definedName>
    <definedName name="List01_CheckC" localSheetId="1">'Т-6 (коллектора)'!$E$28:$H$110</definedName>
    <definedName name="List01_CheckC" localSheetId="3">Теплоноситель!$E$28:$H$121</definedName>
    <definedName name="List01_CheckC" localSheetId="4">'Услуги по передаче ТЭ,ТН'!$E$28:$H$104</definedName>
    <definedName name="List01_CheckC">'Тепловая энергия'!$E$28:$H$196</definedName>
    <definedName name="List01_costs_OPS" localSheetId="2">'Т-15(коллектора)'!$G$62:$H$62</definedName>
    <definedName name="List01_costs_OPS" localSheetId="1">'Т-6 (коллектора)'!$G$62:$H$62</definedName>
    <definedName name="List01_costs_OPS" localSheetId="3">Теплоноситель!$G$56:$H$56</definedName>
    <definedName name="List01_costs_OPS" localSheetId="4">'Услуги по передаче ТЭ,ТН'!$G$56:$H$56</definedName>
    <definedName name="List01_costs_OPS">'Тепловая энергия'!$G$68:$H$68</definedName>
    <definedName name="List01_costs_OPS_22" localSheetId="2">'Т-15(коллектора)'!$G$62</definedName>
    <definedName name="List01_costs_OPS_22" localSheetId="1">'Т-6 (коллектора)'!$G$62</definedName>
    <definedName name="List01_costs_OPS_22" localSheetId="3">Теплоноситель!$G$56</definedName>
    <definedName name="List01_costs_OPS_22" localSheetId="4">'Услуги по передаче ТЭ,ТН'!$G$56</definedName>
    <definedName name="List01_costs_OPS_22">'Тепловая энергия'!$G$68</definedName>
    <definedName name="List01_costs_PH" localSheetId="2">'Т-15(коллектора)'!$G$64:$H$64</definedName>
    <definedName name="List01_costs_PH" localSheetId="1">'Т-6 (коллектора)'!$G$64:$H$64</definedName>
    <definedName name="List01_costs_PH" localSheetId="3">Теплоноситель!$G$58:$H$58</definedName>
    <definedName name="List01_costs_PH" localSheetId="4">'Услуги по передаче ТЭ,ТН'!$G$58:$H$58</definedName>
    <definedName name="List01_costs_PH">'Тепловая энергия'!$G$70:$H$70</definedName>
    <definedName name="List01_costs_PH_22" localSheetId="2">'Т-15(коллектора)'!$G$64</definedName>
    <definedName name="List01_costs_PH_22" localSheetId="1">'Т-6 (коллектора)'!$G$64</definedName>
    <definedName name="List01_costs_PH_22" localSheetId="3">Теплоноситель!$G$58</definedName>
    <definedName name="List01_costs_PH_22" localSheetId="4">'Услуги по передаче ТЭ,ТН'!$G$58</definedName>
    <definedName name="List01_costs_PH_22">'Тепловая энергия'!$G$70</definedName>
    <definedName name="List01_flag_index_1" localSheetId="2">'Т-15(коллектора)'!$G$63:$H$63</definedName>
    <definedName name="List01_flag_index_1" localSheetId="1">'Т-6 (коллектора)'!$G$63:$H$63</definedName>
    <definedName name="List01_flag_index_1" localSheetId="3">Теплоноситель!$G$57:$H$57</definedName>
    <definedName name="List01_flag_index_1" localSheetId="4">'Услуги по передаче ТЭ,ТН'!$G$57:$H$57</definedName>
    <definedName name="List01_flag_index_1">'Тепловая энергия'!$G$69:$H$69</definedName>
    <definedName name="List01_flag_index_2" localSheetId="2">'Т-15(коллектора)'!$G$65:$H$65</definedName>
    <definedName name="List01_flag_index_2" localSheetId="1">'Т-6 (коллектора)'!$G$65:$H$65</definedName>
    <definedName name="List01_flag_index_2" localSheetId="3">Теплоноситель!$G$59:$H$59</definedName>
    <definedName name="List01_flag_index_2" localSheetId="4">'Услуги по передаче ТЭ,ТН'!$G$59:$H$59</definedName>
    <definedName name="List01_flag_index_2">'Тепловая энергия'!$G$71:$H$71</definedName>
    <definedName name="List01_GroundMaterials_1" localSheetId="2">'Т-15(коллектора)'!$G$106:$H$108</definedName>
    <definedName name="List01_GroundMaterials_1" localSheetId="1">'Т-6 (коллектора)'!$G$106:$H$108</definedName>
    <definedName name="List01_GroundMaterials_1" localSheetId="3">Теплоноситель!$G$117:$H$119</definedName>
    <definedName name="List01_GroundMaterials_1" localSheetId="4">'Услуги по передаче ТЭ,ТН'!$G$100:$H$102</definedName>
    <definedName name="List01_GroundMaterials_1">'Тепловая энергия'!$G$192:$H$194</definedName>
    <definedName name="List01_Name" localSheetId="2">'Т-15(коллектора)'!$G$25:$I$25</definedName>
    <definedName name="List01_Name" localSheetId="1">'Т-6 (коллектора)'!$G$25:$I$25</definedName>
    <definedName name="List01_Name" localSheetId="3">Теплоноситель!$G$25:$I$25</definedName>
    <definedName name="List01_Name" localSheetId="4">'Услуги по передаче ТЭ,ТН'!$G$25:$I$25</definedName>
    <definedName name="List01_Name">'Тепловая энергия'!$G$25:$I$25</definedName>
    <definedName name="List01_Num" localSheetId="2">'Т-15(коллектора)'!$G$19:$I$19</definedName>
    <definedName name="List01_Num" localSheetId="1">'Т-6 (коллектора)'!$G$19:$I$19</definedName>
    <definedName name="List01_Num" localSheetId="3">Теплоноситель!$G$19:$I$19</definedName>
    <definedName name="List01_Num" localSheetId="4">'Услуги по передаче ТЭ,ТН'!$G$19:$I$19</definedName>
    <definedName name="List01_Num">'Тепловая энергия'!$G$19:$I$19</definedName>
    <definedName name="List01_NumberColumns" localSheetId="2">'Т-15(коллектора)'!$G$23:$H$23</definedName>
    <definedName name="List01_NumberColumns" localSheetId="1">'Т-6 (коллектора)'!$G$23:$H$23</definedName>
    <definedName name="List01_NumberColumns" localSheetId="3">Теплоноситель!$G$23:$H$23</definedName>
    <definedName name="List01_NumberColumns" localSheetId="4">'Услуги по передаче ТЭ,ТН'!$G$23:$H$23</definedName>
    <definedName name="List01_NumberColumns">'Тепловая энергия'!$G$23:$H$23</definedName>
    <definedName name="List01_p1" localSheetId="2">'Т-15(коллектора)'!$G$29:$H$29</definedName>
    <definedName name="List01_p1" localSheetId="1">'Т-6 (коллектора)'!$G$29:$H$29</definedName>
    <definedName name="List01_p1" localSheetId="3">Теплоноситель!$G$29:$H$29</definedName>
    <definedName name="List01_p1" localSheetId="4">'Услуги по передаче ТЭ,ТН'!$G$29:$H$29</definedName>
    <definedName name="List01_p1">'Тепловая энергия'!$G$29:$H$29</definedName>
    <definedName name="List01_p1_minus_p3" localSheetId="2">'Т-15(коллектора)'!$G$29,'Т-15(коллектора)'!$G$30</definedName>
    <definedName name="List01_p1_minus_p3" localSheetId="1">'Т-6 (коллектора)'!$G$29,'Т-6 (коллектора)'!$G$30</definedName>
    <definedName name="List01_p1_minus_p3" localSheetId="3">Теплоноситель!$G$29,Теплоноситель!$G$30</definedName>
    <definedName name="List01_p1_minus_p3" localSheetId="4">'Услуги по передаче ТЭ,ТН'!$G$29,'Услуги по передаче ТЭ,ТН'!$G$30</definedName>
    <definedName name="List01_p1_minus_p3">'Тепловая энергия'!$G$29,'Тепловая энергия'!$G$30</definedName>
    <definedName name="List01_p11" localSheetId="2">'Т-15(коллектора)'!$G$86:$G$89</definedName>
    <definedName name="List01_p11" localSheetId="1">'Т-6 (коллектора)'!$G$86:$G$89</definedName>
    <definedName name="List01_p11" localSheetId="3">Теплоноситель!$G$97:$G$100</definedName>
    <definedName name="List01_p11" localSheetId="4">'Услуги по передаче ТЭ,ТН'!$G$80:$G$83</definedName>
    <definedName name="List01_p11">'Тепловая энергия'!$G$112:$G$115</definedName>
    <definedName name="List01_p12" localSheetId="2">'Т-15(коллектора)'!$G$90</definedName>
    <definedName name="List01_p12" localSheetId="1">'Т-6 (коллектора)'!$G$90</definedName>
    <definedName name="List01_p12" localSheetId="3">Теплоноситель!$G$101</definedName>
    <definedName name="List01_p12" localSheetId="4">'Услуги по передаче ТЭ,ТН'!$G$84</definedName>
    <definedName name="List01_p12">'Тепловая энергия'!$G$116</definedName>
    <definedName name="List01_p16" localSheetId="2">'Т-15(коллектора)'!$G$95:$G$97</definedName>
    <definedName name="List01_p16" localSheetId="1">'Т-6 (коллектора)'!$G$95:$G$97</definedName>
    <definedName name="List01_p16" localSheetId="3">Теплоноситель!$G$106:$G$108</definedName>
    <definedName name="List01_p16" localSheetId="4">'Услуги по передаче ТЭ,ТН'!$G$89:$G$91</definedName>
    <definedName name="List01_p16">'Тепловая энергия'!$G$121:$G$143</definedName>
    <definedName name="List01_p16_data" localSheetId="2">'Т-15(коллектора)'!$G$95</definedName>
    <definedName name="List01_p16_data" localSheetId="1">'Т-6 (коллектора)'!$G$95</definedName>
    <definedName name="List01_p16_data" localSheetId="3">Теплоноситель!$G$106</definedName>
    <definedName name="List01_p16_data" localSheetId="4">'Услуги по передаче ТЭ,ТН'!$G$89</definedName>
    <definedName name="List01_p16_data">'Тепловая энергия'!$G$121</definedName>
    <definedName name="List01_p19_20" localSheetId="2">'Т-15(коллектора)'!$G$104:$G$105</definedName>
    <definedName name="List01_p19_20" localSheetId="1">'Т-6 (коллектора)'!$G$104:$G$105</definedName>
    <definedName name="List01_p19_20" localSheetId="3">Теплоноситель!$G$115:$G$116</definedName>
    <definedName name="List01_p19_20" localSheetId="4">'Услуги по передаче ТЭ,ТН'!$G$98:$G$99</definedName>
    <definedName name="List01_p19_20">'Тепловая энергия'!$G$190:$G$191</definedName>
    <definedName name="List01_p2_14" localSheetId="2">'Т-15(коллектора)'!$I$62</definedName>
    <definedName name="List01_p2_14" localSheetId="1">'Т-6 (коллектора)'!$I$62</definedName>
    <definedName name="List01_p2_14" localSheetId="3">Теплоноситель!$I$56</definedName>
    <definedName name="List01_p2_14" localSheetId="4">'Услуги по передаче ТЭ,ТН'!$I$56</definedName>
    <definedName name="List01_p2_14">'Тепловая энергия'!$I$68</definedName>
    <definedName name="List01_p3" localSheetId="2">'Т-15(коллектора)'!$G$30:$H$30</definedName>
    <definedName name="List01_p3" localSheetId="1">'Т-6 (коллектора)'!$G$30:$H$30</definedName>
    <definedName name="List01_p3" localSheetId="3">Теплоноситель!$G$30:$H$30</definedName>
    <definedName name="List01_p3" localSheetId="4">'Услуги по передаче ТЭ,ТН'!$G$30:$H$30</definedName>
    <definedName name="List01_p3">'Тепловая энергия'!$G$30:$H$30</definedName>
    <definedName name="List01_p3_10_check" localSheetId="2">'Т-15(коллектора)'!$K$63</definedName>
    <definedName name="List01_p3_10_check" localSheetId="1">'Т-6 (коллектора)'!$K$63</definedName>
    <definedName name="List01_p3_10_check" localSheetId="3">Теплоноситель!$K$57</definedName>
    <definedName name="List01_p3_10_check" localSheetId="4">'Услуги по передаче ТЭ,ТН'!$K$57</definedName>
    <definedName name="List01_p3_10_check">'Тепловая энергия'!$K$69</definedName>
    <definedName name="List01_p3_11_check" localSheetId="2">'Т-15(коллектора)'!$K$65</definedName>
    <definedName name="List01_p3_11_check" localSheetId="1">'Т-6 (коллектора)'!$K$65</definedName>
    <definedName name="List01_p3_11_check" localSheetId="3">Теплоноситель!$K$59</definedName>
    <definedName name="List01_p3_11_check" localSheetId="4">'Услуги по передаче ТЭ,ТН'!$K$59</definedName>
    <definedName name="List01_p3_11_check">'Тепловая энергия'!$K$71</definedName>
    <definedName name="List01_p4" localSheetId="2">'Т-15(коллектора)'!$G$71:$H$71</definedName>
    <definedName name="List01_p4" localSheetId="1">'Т-6 (коллектора)'!$G$71:$H$71</definedName>
    <definedName name="List01_p4" localSheetId="3">Теплоноситель!$G$65:$H$65</definedName>
    <definedName name="List01_p4" localSheetId="4">'Услуги по передаче ТЭ,ТН'!$G$65:$H$65</definedName>
    <definedName name="List01_p4">'Тепловая энергия'!$G$77:$H$77</definedName>
    <definedName name="List01_p9" localSheetId="2">'Т-15(коллектора)'!$G$83</definedName>
    <definedName name="List01_p9" localSheetId="1">'Т-6 (коллектора)'!$G$83</definedName>
    <definedName name="List01_p9" localSheetId="3">Теплоноситель!$G$94</definedName>
    <definedName name="List01_p9" localSheetId="4">'Услуги по передаче ТЭ,ТН'!$G$77</definedName>
    <definedName name="List01_p9">'Тепловая энергия'!$G$109</definedName>
    <definedName name="List01_purchTE" localSheetId="2">'Т-15(коллектора)'!$G$85</definedName>
    <definedName name="List01_purchTE" localSheetId="1">'Т-6 (коллектора)'!$G$85</definedName>
    <definedName name="List01_purchTE" localSheetId="3">Теплоноситель!$G$96</definedName>
    <definedName name="List01_purchTE" localSheetId="4">'Услуги по передаче ТЭ,ТН'!$G$79</definedName>
    <definedName name="List01_purchTE">'Тепловая энергия'!$G$111</definedName>
    <definedName name="List01_revenue_from_activity_80_flag" localSheetId="2">'Т-15(коллектора)'!$G$79:$I$79</definedName>
    <definedName name="List01_revenue_from_activity_80_flag" localSheetId="1">'Т-6 (коллектора)'!$G$79:$I$79</definedName>
    <definedName name="List01_revenue_from_activity_80_flag" localSheetId="3">Теплоноситель!$G$73:$I$73</definedName>
    <definedName name="List01_revenue_from_activity_80_flag" localSheetId="4">'Услуги по передаче ТЭ,ТН'!$G$73:$I$73</definedName>
    <definedName name="List01_revenue_from_activity_80_flag">'Тепловая энергия'!$G$85:$I$85</definedName>
    <definedName name="List06_flag_year" localSheetId="2">'[1]Форма 4.5'!$K$20:$K$26</definedName>
    <definedName name="List06_flag_year" localSheetId="1">'[2]Форма 4.5'!$K$20:$K$26</definedName>
    <definedName name="List06_flag_year" localSheetId="3">'[3]Форма 4.5'!$K$20:$K$26</definedName>
    <definedName name="List06_flag_year" localSheetId="4">'[5]Форма 4.5'!$K$20:$K$26</definedName>
    <definedName name="List06_flag_year">'[4]Форма 4.5'!$K$20:$K$26</definedName>
    <definedName name="note_ter" localSheetId="2">[1]Дифференциация!$I$21:$I$25</definedName>
    <definedName name="note_ter" localSheetId="1">[2]Дифференциация!$I$21:$I$25</definedName>
    <definedName name="note_ter" localSheetId="3">[3]Дифференциация!$I$21:$I$25</definedName>
    <definedName name="note_ter" localSheetId="4">[5]Дифференциация!$I$21:$I$25</definedName>
    <definedName name="note_ter">[4]Дифференциация!$I$21:$I$25</definedName>
    <definedName name="obj_List01_22" localSheetId="2">'Т-15(коллектора)'!$G:$G</definedName>
    <definedName name="obj_List01_22" localSheetId="1">'Т-6 (коллектора)'!$G:$G</definedName>
    <definedName name="obj_List01_22" localSheetId="3">Теплоноситель!$G:$G</definedName>
    <definedName name="obj_List01_22" localSheetId="4">'Услуги по передаче ТЭ,ТН'!$G:$G</definedName>
    <definedName name="obj_List01_22">'Тепловая энергия'!$G:$G</definedName>
    <definedName name="org" localSheetId="2">[1]Титульный!$F$26</definedName>
    <definedName name="org" localSheetId="1">[2]Титульный!$F$26</definedName>
    <definedName name="org" localSheetId="3">[3]Титульный!$F$26</definedName>
    <definedName name="org" localSheetId="4">[5]Титульный!$F$26</definedName>
    <definedName name="org">[4]Титульный!$F$26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localSheetId="4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2" localSheetId="2">'Т-15(коллектора)'!$C$66:$C$70</definedName>
    <definedName name="pDel_List01_2" localSheetId="1">'Т-6 (коллектора)'!$C$66:$C$70</definedName>
    <definedName name="pDel_List01_2" localSheetId="3">Теплоноситель!$C$60:$C$64</definedName>
    <definedName name="pDel_List01_2" localSheetId="4">'Услуги по передаче ТЭ,ТН'!$C$60:$C$64</definedName>
    <definedName name="pDel_List01_2">'Тепловая энергия'!$C$72:$C$76</definedName>
    <definedName name="pDel_List01_3" localSheetId="2">'Т-15(коллектора)'!$C$33:$C$44</definedName>
    <definedName name="pDel_List01_3" localSheetId="1">'Т-6 (коллектора)'!$C$33:$C$44</definedName>
    <definedName name="pDel_List01_3" localSheetId="3">Теплоноситель!$C$33:$C$38</definedName>
    <definedName name="pDel_List01_3" localSheetId="4">'Услуги по передаче ТЭ,ТН'!$C$33:$C$38</definedName>
    <definedName name="pDel_List01_3">'Тепловая энергия'!$C$33:$C$50</definedName>
    <definedName name="pDel_List01_4" localSheetId="2">'Т-15(коллектора)'!$C$95:$C$103</definedName>
    <definedName name="pDel_List01_4" localSheetId="1">'Т-6 (коллектора)'!$C$95:$C$103</definedName>
    <definedName name="pDel_List01_4" localSheetId="3">Теплоноситель!$C$106:$C$114</definedName>
    <definedName name="pDel_List01_4" localSheetId="4">'Услуги по передаче ТЭ,ТН'!$C$89:$C$97</definedName>
    <definedName name="pDel_List01_4">'Тепловая энергия'!$C$121:$C$189</definedName>
    <definedName name="pDel_List01_7" localSheetId="2">'Т-15(коллектора)'!$C$80:$C$82</definedName>
    <definedName name="pDel_List01_7" localSheetId="1">'Т-6 (коллектора)'!$C$80:$C$82</definedName>
    <definedName name="pDel_List01_7" localSheetId="3">Теплоноситель!$C$74:$C$93</definedName>
    <definedName name="pDel_List01_7" localSheetId="4">'Услуги по передаче ТЭ,ТН'!$C$74:$C$76</definedName>
    <definedName name="pDel_List01_7">'Тепловая энергия'!$C$86:$C$108</definedName>
    <definedName name="pIns_List01_1" localSheetId="2">'Т-15(коллектора)'!$H$24</definedName>
    <definedName name="pIns_List01_1" localSheetId="1">'Т-6 (коллектора)'!$H$24</definedName>
    <definedName name="pIns_List01_1" localSheetId="3">Теплоноситель!$H$24</definedName>
    <definedName name="pIns_List01_1" localSheetId="4">'Услуги по передаче ТЭ,ТН'!$H$24</definedName>
    <definedName name="pIns_List01_1">'Тепловая энергия'!$H$24</definedName>
    <definedName name="pIns_List01_2" localSheetId="2">'Т-15(коллектора)'!$E$70</definedName>
    <definedName name="pIns_List01_2" localSheetId="1">'Т-6 (коллектора)'!$E$70</definedName>
    <definedName name="pIns_List01_2" localSheetId="3">Теплоноситель!$E$64</definedName>
    <definedName name="pIns_List01_2" localSheetId="4">'Услуги по передаче ТЭ,ТН'!$E$64</definedName>
    <definedName name="pIns_List01_2">'Тепловая энергия'!$E$76</definedName>
    <definedName name="pIns_List01_3" localSheetId="2">'Т-15(коллектора)'!$E$44</definedName>
    <definedName name="pIns_List01_3" localSheetId="1">'Т-6 (коллектора)'!$E$44</definedName>
    <definedName name="pIns_List01_3" localSheetId="3">Теплоноситель!$E$38</definedName>
    <definedName name="pIns_List01_3" localSheetId="4">'Услуги по передаче ТЭ,ТН'!$E$38</definedName>
    <definedName name="pIns_List01_3">'Тепловая энергия'!$E$50</definedName>
    <definedName name="pIns_List01_4" localSheetId="2">'Т-15(коллектора)'!$E$97</definedName>
    <definedName name="pIns_List01_4" localSheetId="1">'Т-6 (коллектора)'!$E$97</definedName>
    <definedName name="pIns_List01_4" localSheetId="3">Теплоноситель!$E$108</definedName>
    <definedName name="pIns_List01_4" localSheetId="4">'Услуги по передаче ТЭ,ТН'!$E$91</definedName>
    <definedName name="pIns_List01_4">'Тепловая энергия'!$E$143</definedName>
    <definedName name="pIns_List01_5" localSheetId="2">'Т-15(коллектора)'!$E$100</definedName>
    <definedName name="pIns_List01_5" localSheetId="1">'Т-6 (коллектора)'!$E$100</definedName>
    <definedName name="pIns_List01_5" localSheetId="3">Теплоноситель!$E$111</definedName>
    <definedName name="pIns_List01_5" localSheetId="4">'Услуги по передаче ТЭ,ТН'!$E$94</definedName>
    <definedName name="pIns_List01_5">'Тепловая энергия'!$E$166</definedName>
    <definedName name="pIns_List01_6" localSheetId="2">'Т-15(коллектора)'!$E$103</definedName>
    <definedName name="pIns_List01_6" localSheetId="1">'Т-6 (коллектора)'!$E$103</definedName>
    <definedName name="pIns_List01_6" localSheetId="3">Теплоноситель!$E$114</definedName>
    <definedName name="pIns_List01_6" localSheetId="4">'Услуги по передаче ТЭ,ТН'!$E$97</definedName>
    <definedName name="pIns_List01_6">'Тепловая энергия'!$E$189</definedName>
    <definedName name="pIns_List01_7" localSheetId="2">'Т-15(коллектора)'!$E$82</definedName>
    <definedName name="pIns_List01_7" localSheetId="1">'Т-6 (коллектора)'!$E$82</definedName>
    <definedName name="pIns_List01_7" localSheetId="3">Теплоноситель!$E$93</definedName>
    <definedName name="pIns_List01_7" localSheetId="4">'Услуги по передаче ТЭ,ТН'!$E$76</definedName>
    <definedName name="pIns_List01_7">'Тепловая энергия'!$E$108</definedName>
    <definedName name="PROT_22" localSheetId="2">P3_PROT_22,P4_PROT_22,P5_PROT_22</definedName>
    <definedName name="PROT_22" localSheetId="1">P3_PROT_22,P4_PROT_22,P5_PROT_22</definedName>
    <definedName name="PROT_22" localSheetId="3">P3_PROT_22,P4_PROT_22,P5_PROT_22</definedName>
    <definedName name="PROT_22" localSheetId="4">P3_PROT_22,P4_PROT_22,P5_PROT_22</definedName>
    <definedName name="PROT_22">P3_PROT_22,P4_PROT_22,P5_PROT_22</definedName>
    <definedName name="region_name" localSheetId="2">[1]Титульный!$F$7</definedName>
    <definedName name="region_name" localSheetId="1">[2]Титульный!$F$7</definedName>
    <definedName name="region_name" localSheetId="3">[3]Титульный!$F$7</definedName>
    <definedName name="region_name" localSheetId="4">[5]Титульный!$F$7</definedName>
    <definedName name="region_name">[4]Титульный!$F$7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 localSheetId="2">[1]TEHSHEET!$O$2:$O$13</definedName>
    <definedName name="source_of_funding" localSheetId="1">[2]TEHSHEET!$O$2:$O$13</definedName>
    <definedName name="source_of_funding" localSheetId="3">[3]TEHSHEET!$O$2:$O$13</definedName>
    <definedName name="source_of_funding" localSheetId="4">[5]TEHSHEET!$O$2:$O$13</definedName>
    <definedName name="source_of_funding">[4]TEHSHEET!$O$2:$O$13</definedName>
    <definedName name="version" localSheetId="2">[1]Инструкция!$B$3</definedName>
    <definedName name="version" localSheetId="1">[2]Инструкция!$B$3</definedName>
    <definedName name="version" localSheetId="3">[3]Инструкция!$B$3</definedName>
    <definedName name="version" localSheetId="4">[5]Инструкция!$B$3</definedName>
    <definedName name="version">[4]Инструкция!$B$3</definedName>
    <definedName name="year_list" localSheetId="2">[1]TEHSHEET!$C$2:$C$5</definedName>
    <definedName name="year_list" localSheetId="1">[2]TEHSHEET!$C$2:$C$5</definedName>
    <definedName name="year_list" localSheetId="3">[3]TEHSHEET!$C$2:$C$5</definedName>
    <definedName name="year_list" localSheetId="4">[5]TEHSHEET!$C$2:$C$5</definedName>
    <definedName name="year_list">[4]TEHSHEET!$C$2:$C$5</definedName>
  </definedNames>
  <calcPr calcId="152511"/>
</workbook>
</file>

<file path=xl/calcChain.xml><?xml version="1.0" encoding="utf-8"?>
<calcChain xmlns="http://schemas.openxmlformats.org/spreadsheetml/2006/main">
  <c r="G84" i="6" l="1"/>
  <c r="G83" i="6"/>
  <c r="G80" i="6"/>
  <c r="G68" i="6"/>
  <c r="G60" i="6"/>
  <c r="G56" i="6"/>
  <c r="G46" i="6"/>
  <c r="G45" i="6"/>
  <c r="G47" i="6" s="1"/>
  <c r="G30" i="6" s="1"/>
  <c r="G44" i="6"/>
  <c r="G41" i="6"/>
  <c r="G39" i="6"/>
  <c r="G40" i="6" s="1"/>
  <c r="G32" i="6"/>
  <c r="G28" i="6"/>
  <c r="G27" i="6"/>
  <c r="D11" i="6"/>
  <c r="D10" i="6"/>
  <c r="D9" i="6"/>
  <c r="D8" i="6"/>
  <c r="G7" i="6"/>
  <c r="D6" i="6"/>
  <c r="K59" i="6"/>
  <c r="K57" i="6"/>
  <c r="G65" i="6" l="1"/>
  <c r="G109" i="6" s="1"/>
  <c r="G94" i="5" l="1"/>
  <c r="G74" i="5"/>
  <c r="G60" i="5"/>
  <c r="G56" i="5"/>
  <c r="G45" i="5"/>
  <c r="G47" i="5" s="1"/>
  <c r="G44" i="5"/>
  <c r="G46" i="5" s="1"/>
  <c r="G30" i="5" s="1"/>
  <c r="G42" i="5"/>
  <c r="G41" i="5"/>
  <c r="G39" i="5"/>
  <c r="G40" i="5" s="1"/>
  <c r="G32" i="5"/>
  <c r="G28" i="5"/>
  <c r="G27" i="5"/>
  <c r="D11" i="5"/>
  <c r="D10" i="5"/>
  <c r="D9" i="5"/>
  <c r="D8" i="5"/>
  <c r="G7" i="5"/>
  <c r="D6" i="5"/>
  <c r="K59" i="5"/>
  <c r="K57" i="5"/>
  <c r="G65" i="5" l="1"/>
  <c r="G126" i="5" s="1"/>
  <c r="G75" i="4" l="1"/>
  <c r="G74" i="4" s="1"/>
  <c r="G68" i="4"/>
  <c r="G66" i="4"/>
  <c r="G62" i="4"/>
  <c r="G54" i="4"/>
  <c r="G48" i="4"/>
  <c r="G47" i="4"/>
  <c r="G45" i="4"/>
  <c r="G46" i="4" s="1"/>
  <c r="D43" i="4"/>
  <c r="G42" i="4"/>
  <c r="D42" i="4"/>
  <c r="G41" i="4"/>
  <c r="G39" i="4" s="1"/>
  <c r="G32" i="4" s="1"/>
  <c r="G30" i="4" s="1"/>
  <c r="D41" i="4"/>
  <c r="D40" i="4"/>
  <c r="D38" i="4"/>
  <c r="G28" i="4"/>
  <c r="G27" i="4"/>
  <c r="D11" i="4"/>
  <c r="D10" i="4"/>
  <c r="D9" i="4"/>
  <c r="D8" i="4"/>
  <c r="G7" i="4"/>
  <c r="D6" i="4"/>
  <c r="K63" i="4"/>
  <c r="K65" i="4"/>
  <c r="G71" i="4" l="1"/>
  <c r="G115" i="4" s="1"/>
  <c r="G77" i="3" l="1"/>
  <c r="G76" i="3"/>
  <c r="G75" i="3"/>
  <c r="G74" i="3" s="1"/>
  <c r="G69" i="3"/>
  <c r="G68" i="3"/>
  <c r="G66" i="3" s="1"/>
  <c r="G62" i="3"/>
  <c r="G54" i="3"/>
  <c r="G53" i="3"/>
  <c r="G52" i="3"/>
  <c r="G51" i="3"/>
  <c r="G50" i="3"/>
  <c r="G49" i="3"/>
  <c r="G48" i="3"/>
  <c r="G47" i="3"/>
  <c r="G45" i="3"/>
  <c r="G46" i="3" s="1"/>
  <c r="D43" i="3"/>
  <c r="D42" i="3"/>
  <c r="G41" i="3"/>
  <c r="D41" i="3"/>
  <c r="G40" i="3"/>
  <c r="G42" i="3" s="1"/>
  <c r="G39" i="3" s="1"/>
  <c r="G32" i="3" s="1"/>
  <c r="G30" i="3" s="1"/>
  <c r="D40" i="3"/>
  <c r="D38" i="3"/>
  <c r="G29" i="3"/>
  <c r="G28" i="3"/>
  <c r="G27" i="3"/>
  <c r="D11" i="3"/>
  <c r="D10" i="3"/>
  <c r="D9" i="3"/>
  <c r="D8" i="3"/>
  <c r="G7" i="3"/>
  <c r="D6" i="3"/>
  <c r="K65" i="3"/>
  <c r="K63" i="3"/>
  <c r="G71" i="3" l="1"/>
  <c r="G115" i="3" s="1"/>
  <c r="G191" i="2" l="1"/>
  <c r="G190" i="2"/>
  <c r="G116" i="2"/>
  <c r="G115" i="2"/>
  <c r="G112" i="2"/>
  <c r="G110" i="2"/>
  <c r="G109" i="2"/>
  <c r="G86" i="2"/>
  <c r="G144" i="2" s="1"/>
  <c r="G83" i="2"/>
  <c r="G82" i="2"/>
  <c r="G81" i="2" s="1"/>
  <c r="G80" i="2" s="1"/>
  <c r="G75" i="2"/>
  <c r="G74" i="2"/>
  <c r="G72" i="2"/>
  <c r="G68" i="2"/>
  <c r="G60" i="2"/>
  <c r="G59" i="2"/>
  <c r="G58" i="2"/>
  <c r="G57" i="2"/>
  <c r="G56" i="2"/>
  <c r="G55" i="2"/>
  <c r="G54" i="2"/>
  <c r="G53" i="2"/>
  <c r="G52" i="2"/>
  <c r="G51" i="2"/>
  <c r="D49" i="2"/>
  <c r="D48" i="2"/>
  <c r="G47" i="2"/>
  <c r="G45" i="2" s="1"/>
  <c r="D47" i="2"/>
  <c r="D46" i="2"/>
  <c r="D44" i="2"/>
  <c r="D43" i="2"/>
  <c r="D42" i="2"/>
  <c r="G41" i="2"/>
  <c r="D41" i="2"/>
  <c r="G40" i="2"/>
  <c r="G42" i="2" s="1"/>
  <c r="G39" i="2" s="1"/>
  <c r="G32" i="2" s="1"/>
  <c r="G30" i="2" s="1"/>
  <c r="D40" i="2"/>
  <c r="D38" i="2"/>
  <c r="G31" i="2"/>
  <c r="G29" i="2"/>
  <c r="G28" i="2"/>
  <c r="G27" i="2"/>
  <c r="D11" i="2"/>
  <c r="D10" i="2"/>
  <c r="D9" i="2"/>
  <c r="D8" i="2"/>
  <c r="G7" i="2"/>
  <c r="D6" i="2"/>
  <c r="K71" i="2"/>
  <c r="K69" i="2"/>
  <c r="G121" i="2" l="1"/>
  <c r="G167" i="2"/>
  <c r="G77" i="2"/>
  <c r="G201" i="2" s="1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<sst xmlns="http://schemas.openxmlformats.org/spreadsheetml/2006/main" count="1872" uniqueCount="322">
  <si>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</si>
  <si>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</si>
  <si>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кг у. т./Гкал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</si>
  <si>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</si>
  <si>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vt</t>
  </si>
  <si>
    <t>х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</si>
  <si>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</si>
  <si>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общая стоимость</t>
  </si>
  <si>
    <t>объем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</si>
  <si>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</si>
  <si>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</si>
  <si>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</si>
  <si>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</si>
  <si>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</si>
  <si>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</si>
  <si>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</si>
  <si>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Гкал/ч</t>
  </si>
  <si>
    <t>Указывается установленная тепловая мощность для источника тепловой энергии.</t>
  </si>
  <si>
    <r>
  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</si>
  <si>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</si>
  <si>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</si>
  <si>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</si>
  <si>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</si>
  <si>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</si>
  <si>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</si>
  <si>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</si>
  <si>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</si>
  <si>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</si>
  <si>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</si>
  <si>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</si>
  <si>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</si>
  <si>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</si>
  <si>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теплоснабжения.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</si>
  <si>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</si>
  <si>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</si>
  <si>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</si>
  <si>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</si>
  <si>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</si>
  <si>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</si>
  <si>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Указываются суммарные расходы на приобретение топлива всех видов.</t>
  </si>
  <si>
    <t>3.2.0</t>
  </si>
  <si>
    <t>3.2.1</t>
  </si>
  <si>
    <t>О</t>
  </si>
  <si>
    <t>газ природный по регулируемой цене</t>
  </si>
  <si>
    <t/>
  </si>
  <si>
    <t>тыс м3</t>
  </si>
  <si>
    <t>Прямые договора без торгов</t>
  </si>
  <si>
    <t>3.2.2</t>
  </si>
  <si>
    <t>мазут</t>
  </si>
  <si>
    <t>тонны</t>
  </si>
  <si>
    <t>Торги/аукционы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</si>
  <si>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</si>
  <si>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</si>
  <si>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</si>
  <si>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</si>
  <si>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</si>
  <si>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</si>
  <si>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</si>
  <si>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</si>
  <si>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</si>
  <si>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</si>
  <si>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</si>
  <si>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</si>
  <si>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</si>
  <si>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</si>
  <si>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</si>
  <si>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</si>
  <si>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</si>
  <si>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</si>
  <si>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</si>
  <si>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</si>
  <si>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</si>
  <si>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</si>
  <si>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</si>
  <si>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</si>
  <si>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</si>
  <si>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</si>
  <si>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</si>
  <si>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Указывается общая сумма общепроизводственных расходов.</t>
  </si>
  <si>
    <t>3.12.1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</si>
  <si>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</si>
  <si>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</si>
  <si>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3.12.2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</si>
  <si>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</si>
  <si>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</si>
  <si>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3.13</t>
  </si>
  <si>
    <t>Общехозяйственные расходы, в том числе:</t>
  </si>
  <si>
    <t>Указывается общая сумма общехозяйственных расходов.</t>
  </si>
  <si>
    <t>3.13.1</t>
  </si>
  <si>
    <t>Указываются расходы на текущий ремонт, отнесенные к общехозяйственным расходам.</t>
  </si>
  <si>
    <t>3.13.2</t>
  </si>
  <si>
    <t>Указываются расходы на капитальный ремонт, отнесенные к общехозяйственным расходам.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</si>
  <si>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</si>
  <si>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</si>
  <si>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</si>
  <si>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</si>
  <si>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</si>
  <si>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</si>
  <si>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теплоснабжения.</t>
  </si>
  <si>
    <t>3.15.0</t>
  </si>
  <si>
    <t>3.15.1</t>
  </si>
  <si>
    <t>Содержание АТЦ</t>
  </si>
  <si>
    <t>3.15.2</t>
  </si>
  <si>
    <t>Прочие цеховые и общехозяйственные расходы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</si>
  <si>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</si>
  <si>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</si>
  <si>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</si>
  <si>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</si>
  <si>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</si>
  <si>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</si>
  <si>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</si>
  <si>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</si>
  <si>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</si>
  <si>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</si>
  <si>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Указывается общее изменение стоимости основных фондов.</t>
  </si>
  <si>
    <t>6.1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</si>
  <si>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</si>
  <si>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</si>
  <si>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6.1.1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</si>
  <si>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</si>
  <si>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</si>
  <si>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6.1.2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</si>
  <si>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</si>
  <si>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</si>
  <si>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</si>
  <si>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</si>
  <si>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</si>
  <si>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</si>
  <si>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</si>
  <si>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https://portal.eias.ru/Portal/DownloadPage.aspx?type=12&amp;guid=3637cd45-32ed-4c02-8eb3-188e9b9ea6e3</t>
  </si>
  <si>
    <t>Указывается ссылка на документ, предварительно загруженный в хранилище файлов ФГИС ЕИАС.
Регулируемыми организациями информация раскрывается в случае, если выручка от регулируемых видов деятельности превышает 80 процентов совокупной выручки за отчетный год.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</si>
  <si>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</si>
  <si>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</si>
  <si>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Указывается суммарная установленная тепловая мощность объектов основных фондов, используемых для осуществления теплоснабжения.
Регулируемыми организациями указывается информация по объектам, используемым для осуществления регулируемых видов деятельности.</t>
  </si>
  <si>
    <t>8.0</t>
  </si>
  <si>
    <t>8.1</t>
  </si>
  <si>
    <t xml:space="preserve">Котельная Т-1 </t>
  </si>
  <si>
    <t>8.2</t>
  </si>
  <si>
    <t>Котельная Т-2</t>
  </si>
  <si>
    <t>8.3</t>
  </si>
  <si>
    <t>Котельная Т-3</t>
  </si>
  <si>
    <t>8.4</t>
  </si>
  <si>
    <t>Котельная Т-4</t>
  </si>
  <si>
    <t>8.5</t>
  </si>
  <si>
    <t>Котельная Т-6</t>
  </si>
  <si>
    <t>8.6</t>
  </si>
  <si>
    <t>Котельная Т-8</t>
  </si>
  <si>
    <t>8.7</t>
  </si>
  <si>
    <t>Котельная Т-9</t>
  </si>
  <si>
    <t>8.8</t>
  </si>
  <si>
    <t>Котельная Т-10</t>
  </si>
  <si>
    <t>8.9</t>
  </si>
  <si>
    <t>Котельная Т-11</t>
  </si>
  <si>
    <t>8.10</t>
  </si>
  <si>
    <t>Котельная Т-13</t>
  </si>
  <si>
    <t>8.11</t>
  </si>
  <si>
    <t>Котельная Т-17</t>
  </si>
  <si>
    <t>8.12</t>
  </si>
  <si>
    <t>Котельная Т-18</t>
  </si>
  <si>
    <t>8.13</t>
  </si>
  <si>
    <t>Котельная Т-20</t>
  </si>
  <si>
    <t>8.14</t>
  </si>
  <si>
    <t>Котельная Т-22</t>
  </si>
  <si>
    <t>8.15</t>
  </si>
  <si>
    <t>Котельная Т-23</t>
  </si>
  <si>
    <t>8.16</t>
  </si>
  <si>
    <t>Котельная Т-27</t>
  </si>
  <si>
    <t>8.17</t>
  </si>
  <si>
    <t>Котельная Т-41</t>
  </si>
  <si>
    <t>8.18</t>
  </si>
  <si>
    <t>Котельная Т-43</t>
  </si>
  <si>
    <t>8.19</t>
  </si>
  <si>
    <t>Котельная Т-44</t>
  </si>
  <si>
    <t>8.20</t>
  </si>
  <si>
    <t>Арендуемая котельная АО "Волгомост"</t>
  </si>
  <si>
    <t>Добавить источник тепловой энергии</t>
  </si>
  <si>
    <t>В случае наличия нескольких источников тепловой энергии установленная тепловая мощность по каждому из них указывается в отдельных строках.</t>
  </si>
  <si>
    <t>9</t>
  </si>
  <si>
    <t>Тепловая нагрузка по договорам теплоснабжения</t>
  </si>
  <si>
    <t>Регулируемыми организациями указывается информация по договорам, заключенным в рамках осуществления регулируемых видов деятельности</t>
  </si>
  <si>
    <t>10</t>
  </si>
  <si>
    <t>Объем вырабатываемой тепловой энергии</t>
  </si>
  <si>
    <t>тыс. Гкал</t>
  </si>
  <si>
    <t>Регулируемыми организациями указывается информация тепловой энергии, выработанной в рамках осуществления регулируемых видов деятельности.</t>
  </si>
  <si>
    <t>10.1</t>
  </si>
  <si>
    <t>Объем приобретаемой тепловой энергии</t>
  </si>
  <si>
    <t>Информация указывается только едиными теплоснабжающими организациями.</t>
  </si>
  <si>
    <t>11</t>
  </si>
  <si>
    <t xml:space="preserve">Объем тепловой энергии, отпускаемой потребителям </t>
  </si>
  <si>
    <t>Указывается общий объем тепловой энергии, отпускаемой потребителям.
Регулируемыми организациями указывается информация по договорам, заключенным в рамках осуществления регулируемых видов деятельности.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</si>
  <si>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</si>
  <si>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</si>
  <si>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</si>
  <si>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</si>
  <si>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</si>
  <si>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</si>
  <si>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</si>
  <si>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</si>
  <si>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</si>
  <si>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</si>
  <si>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</si>
  <si>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</si>
  <si>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</si>
  <si>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</si>
  <si>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</si>
  <si>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</si>
  <si>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</si>
  <si>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</si>
  <si>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</si>
  <si>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</si>
  <si>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</si>
  <si>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</si>
  <si>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Указывается норматив удельного расхода условного топлива при производстве тепловой энергии источниками тепловой энергии по всем источникам тепловой энергии в целом.</t>
  </si>
  <si>
    <t>16.0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</si>
  <si>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</si>
  <si>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</si>
  <si>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</si>
  <si>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</si>
  <si>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</si>
  <si>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</si>
  <si>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</si>
  <si>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</si>
  <si>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</si>
  <si>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</si>
  <si>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</si>
  <si>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</si>
  <si>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</si>
  <si>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</si>
  <si>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</si>
  <si>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</si>
  <si>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</si>
  <si>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</si>
  <si>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</si>
  <si>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</si>
  <si>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строках.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</si>
  <si>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</si>
  <si>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</si>
  <si>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Указывается плановый удельный расход условного топлива при производстве тепловой энергии источниками тепловой энергии по всем источникам тепловой энергии в целом.
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</si>
  <si>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17.0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</si>
  <si>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</si>
  <si>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</si>
  <si>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</si>
  <si>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</si>
  <si>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</si>
  <si>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</si>
  <si>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</si>
  <si>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</si>
  <si>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</si>
  <si>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</si>
  <si>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</si>
  <si>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</si>
  <si>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</si>
  <si>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</si>
  <si>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</si>
  <si>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</si>
  <si>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</si>
  <si>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</si>
  <si>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</si>
  <si>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</si>
  <si>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В случае наличия нескольких источников тепловой энергии плановый удельный расход условного топлива по каждому из них указывается в отдельных строках.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</si>
  <si>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</si>
  <si>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</si>
  <si>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Регулируемыми организациями указывается информация с распределением по источникам тепловой энергии, используемым для осуществления регулируемых видов деятельности.</t>
  </si>
  <si>
    <t>18.0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</si>
  <si>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</si>
  <si>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</si>
  <si>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</si>
  <si>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</si>
  <si>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</si>
  <si>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</si>
  <si>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</si>
  <si>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</si>
  <si>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</si>
  <si>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</si>
  <si>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</si>
  <si>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</si>
  <si>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</si>
  <si>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</si>
  <si>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</si>
  <si>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</si>
  <si>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</si>
  <si>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</si>
  <si>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</si>
  <si>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</si>
  <si>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строках.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</si>
  <si>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</si>
  <si>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</si>
  <si>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</si>
  <si>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Регулируемыми организациями указывается информация по договорам, заключенным в рамках осуществления регулируемой деятельности.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</si>
  <si>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</si>
  <si>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</si>
  <si>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</si>
  <si>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</si>
  <si>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</si>
  <si>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Указывается ссылка на документ, предварительно загруженный в хранилище файлов ФГИС ЕИАС.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</si>
  <si>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</si>
  <si>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</si>
  <si>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</si>
  <si>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</si>
  <si>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</si>
  <si>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</si>
  <si>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Т-6 ( с коллекторов)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</si>
  <si>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Т-15</t>
  </si>
  <si>
    <t>Вид деятельности:_x000D_
  - Производство. Теплоноситель; Передача. Теплоноситель; Сбыт. Теплоноситель_x000D_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</si>
  <si>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Прочие общехозяйственные и общепроизводственные затраты</t>
  </si>
  <si>
    <t>Котельная № Т-1</t>
  </si>
  <si>
    <t>Котельная № Т-2</t>
  </si>
  <si>
    <t>Котельная № Т-3</t>
  </si>
  <si>
    <t>Котельная № Т-4</t>
  </si>
  <si>
    <t>Котельная № Т-6</t>
  </si>
  <si>
    <t>Котельная № Т-8</t>
  </si>
  <si>
    <t>Котельная № Т-9</t>
  </si>
  <si>
    <t>Котельная № Т-10</t>
  </si>
  <si>
    <t>Котельная № Т-11</t>
  </si>
  <si>
    <t>Котельная № Т-15</t>
  </si>
  <si>
    <t>Котельная № Т-17</t>
  </si>
  <si>
    <t>Котельная № Т-23</t>
  </si>
  <si>
    <t>Котельная № Т-27</t>
  </si>
  <si>
    <t>Котельная № Т-41</t>
  </si>
  <si>
    <t>Котельная № Т-43</t>
  </si>
  <si>
    <t>Котельная № Т-44</t>
  </si>
  <si>
    <t>Вид деятельности:_x000D_
  - Передача. Тепловая энергия; Передача. Теплоноситель_x000D_
_x000D_
Территория оказания услуг:_x000D_
  - без дифференциации_x000D_
_x000D_
Централизованная система теплоснабжения:_x000D_
  - наименование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</si>
</sst>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1" fillId="0" borderId="5" applyBorder="0">
      <alignment horizontal="center" vertical="center" wrapText="1"/>
    </xf>
    <xf numFmtId="49" fontId="4" fillId="0" borderId="0" applyBorder="0">
      <alignment vertical="top"/>
    </xf>
    <xf numFmtId="49" fontId="18" fillId="6" borderId="0" applyBorder="0">
      <alignment vertical="top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2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13" fillId="0" borderId="0" xfId="1" applyNumberFormat="1" applyFont="1" applyFill="1" applyBorder="1" applyAlignment="1" applyProtection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3"/>
    </xf>
    <xf numFmtId="4" fontId="13" fillId="0" borderId="1" xfId="1" applyNumberFormat="1" applyFont="1" applyFill="1" applyBorder="1" applyAlignment="1" applyProtection="1">
      <alignment horizontal="right" vertical="center" wrapText="1"/>
    </xf>
    <xf numFmtId="49" fontId="16" fillId="0" borderId="0" xfId="1" applyNumberFormat="1" applyFont="1" applyFill="1" applyBorder="1" applyAlignment="1" applyProtection="1">
      <alignment horizontal="center" vertical="top" wrapText="1"/>
    </xf>
    <xf numFmtId="0" fontId="16" fillId="0" borderId="0" xfId="1" applyFont="1" applyFill="1" applyAlignment="1" applyProtection="1">
      <alignment horizontal="center" vertical="center" wrapText="1"/>
    </xf>
    <xf numFmtId="49" fontId="4" fillId="5" borderId="4" xfId="1" applyNumberFormat="1" applyFont="1" applyFill="1" applyBorder="1" applyAlignment="1" applyProtection="1">
      <alignment vertical="center" wrapText="1"/>
    </xf>
    <xf numFmtId="49" fontId="17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1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4" fillId="0" borderId="1" xfId="1" applyFont="1" applyFill="1" applyBorder="1" applyAlignment="1" applyProtection="1">
      <alignment horizontal="left" vertical="center" wrapText="1" indent="2"/>
    </xf>
    <xf numFmtId="49" fontId="13" fillId="0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" fontId="4" fillId="4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0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9" fillId="3" borderId="1" xfId="7" applyNumberFormat="1" applyFont="1" applyFill="1" applyBorder="1" applyAlignment="1" applyProtection="1">
      <alignment horizontal="left" vertical="center" wrapText="1"/>
      <protection locked="0"/>
    </xf>
    <xf numFmtId="49" fontId="13" fillId="0" borderId="8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vertical="center" wrapText="1"/>
    </xf>
    <xf numFmtId="0" fontId="13" fillId="0" borderId="8" xfId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7" fillId="5" borderId="7" xfId="4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49" fontId="19" fillId="3" borderId="1" xfId="7" applyNumberFormat="1" applyFill="1" applyBorder="1" applyAlignment="1" applyProtection="1">
      <alignment horizontal="left" vertical="center" wrapText="1"/>
      <protection locked="0"/>
    </xf>
    <xf numFmtId="49" fontId="13" fillId="0" borderId="11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49" fontId="13" fillId="0" borderId="11" xfId="1" applyNumberFormat="1" applyFont="1" applyFill="1" applyBorder="1" applyAlignment="1" applyProtection="1">
      <alignment horizontal="left" vertical="center" wrapText="1"/>
    </xf>
    <xf numFmtId="0" fontId="20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top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14" fillId="0" borderId="9" xfId="1" applyNumberFormat="1" applyFont="1" applyFill="1" applyBorder="1" applyAlignment="1" applyProtection="1">
      <alignment horizontal="center" vertical="center" wrapText="1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4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4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2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2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3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3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5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5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a\Desktop\&#1064;&#1072;&#1073;&#1083;&#1086;&#1085;&#1099;%20&#1045;&#1048;&#1040;&#1057;\&#1060;&#1069;&#1054;\OPEN.INFO.BALANCE.WARM%20(&#1092;&#1072;&#1082;&#1090;)\2019\FAS.JKH.OPEN.INFO.BALANCE.WARM(v1.0.3)%20-%20&#1050;&#1086;&#1090;&#1077;&#1083;&#1100;&#1085;&#1072;&#1103;%20&#1058;-15%202019&#1075;.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a\Desktop\&#1064;&#1072;&#1073;&#1083;&#1086;&#1085;&#1099;%20&#1045;&#1048;&#1040;&#1057;\&#1060;&#1069;&#1054;\OPEN.INFO.BALANCE.WARM%20(&#1092;&#1072;&#1082;&#1090;)\2019\FAS.JKH.OPEN.INFO.BALANCE.WARM(v1.0.3)%20-%20&#1050;&#1086;&#1090;&#1077;&#1083;&#1100;&#1085;&#1072;&#1103;%20&#1058;-6%202019&#1075;.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a\Desktop\&#1064;&#1072;&#1073;&#1083;&#1086;&#1085;&#1099;%20&#1045;&#1048;&#1040;&#1057;\&#1060;&#1069;&#1054;\OPEN.INFO.BALANCE.WARM%20(&#1092;&#1072;&#1082;&#1090;)\2019\FAS.JKH.OPEN.INFO.BALANCE.WARM(v1.0.3)%20-%20&#1058;&#1077;&#1087;&#1083;&#1086;&#1085;&#1086;&#1089;&#1080;&#1090;&#1077;&#1083;&#1100;%20&#1073;&#1077;&#1079;%20&#1082;&#1086;&#1090;&#1077;&#1083;&#1100;&#1085;&#1099;&#1093;%20&#1085;&#1072;%20&#1058;&#1054;%20&#1080;%20&#1053;&#1077;&#1088;&#1077;&#1075;.%202019&#1075;.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a\Desktop\&#1064;&#1072;&#1073;&#1083;&#1086;&#1085;&#1099;%20&#1045;&#1048;&#1040;&#1057;\&#1060;&#1069;&#1054;\OPEN.INFO.BALANCE.WARM%20(&#1092;&#1072;&#1082;&#1090;)\2019\FAS.JKH.OPEN.INFO.BALANCE.WARM(v1.0.3)%20-%20&#1058;&#1077;&#1087;&#1083;&#1086;&#1074;&#1072;&#1103;%20&#1101;&#1085;&#1077;&#1088;&#1075;&#1080;&#1103;%20&#1073;&#1077;&#1079;%20&#1082;&#1086;&#1090;&#1077;&#1083;&#1100;&#1085;&#1099;&#1093;%20&#1085;&#1072;%20&#1058;&#1054;%20&#1080;%20&#1053;&#1077;&#1088;&#1077;&#1075;.%202019&#1075;.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a\Desktop\&#1064;&#1072;&#1073;&#1083;&#1086;&#1085;&#1099;%20&#1045;&#1048;&#1040;&#1057;\&#1060;&#1069;&#1054;\OPEN.INFO.BALANCE.WARM%20(&#1092;&#1072;&#1082;&#1090;)\2019\FAS.JKH.OPEN.INFO.BALANCE.WARM(v1.0.3)%20&#1059;&#1089;&#1083;&#1091;&#1075;&#1080;%20&#1087;&#1086;%20&#1087;&#1077;&#1088;&#1077;&#1076;&#1072;&#1095;&#1077;%20&#1058;&#1069;,&#1058;&#1053;%202019&#1075;.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 refreshError="1"/>
      <sheetData sheetId="1" refreshError="1"/>
      <sheetData sheetId="2">
        <row r="3">
          <cell r="B3" t="str">
            <v>Версия 1.0.3</v>
          </cell>
        </row>
      </sheetData>
      <sheetData sheetId="3" refreshError="1"/>
      <sheetData sheetId="4">
        <row r="7">
          <cell r="F7" t="str">
            <v>Астраханская область</v>
          </cell>
        </row>
        <row r="14">
          <cell r="F14" t="str">
            <v>13.04.2020</v>
          </cell>
        </row>
        <row r="20">
          <cell r="F20">
            <v>2019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25.03.2020</v>
          </cell>
        </row>
      </sheetData>
      <sheetData sheetId="5" refreshError="1"/>
      <sheetData sheetId="6">
        <row r="24">
          <cell r="I24" t="str">
            <v/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3">
          <cell r="B3" t="str">
            <v>Город Астрахань, Город Астрахань (12701000);</v>
          </cell>
        </row>
      </sheetData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 refreshError="1"/>
      <sheetData sheetId="1" refreshError="1"/>
      <sheetData sheetId="2">
        <row r="3">
          <cell r="B3" t="str">
            <v>Версия 1.0.3</v>
          </cell>
        </row>
      </sheetData>
      <sheetData sheetId="3" refreshError="1"/>
      <sheetData sheetId="4">
        <row r="7">
          <cell r="F7" t="str">
            <v>Астраханская область</v>
          </cell>
        </row>
        <row r="14">
          <cell r="F14" t="str">
            <v>13.04.2020</v>
          </cell>
        </row>
        <row r="20">
          <cell r="F20">
            <v>2019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25.03.2020</v>
          </cell>
        </row>
      </sheetData>
      <sheetData sheetId="5" refreshError="1"/>
      <sheetData sheetId="6">
        <row r="24">
          <cell r="I24" t="str">
            <v/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3">
          <cell r="B3" t="str">
            <v>Город Астрахань, Город Астрахань (12701000);</v>
          </cell>
        </row>
      </sheetData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>
        <row r="3">
          <cell r="B3" t="str">
            <v>Версия 1.0.3</v>
          </cell>
        </row>
      </sheetData>
      <sheetData sheetId="3"/>
      <sheetData sheetId="4">
        <row r="7">
          <cell r="F7" t="str">
            <v>Астраханская область</v>
          </cell>
        </row>
        <row r="14">
          <cell r="F14" t="str">
            <v>06.04.2020</v>
          </cell>
        </row>
        <row r="20">
          <cell r="F20">
            <v>2019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25.03.2020</v>
          </cell>
        </row>
      </sheetData>
      <sheetData sheetId="5"/>
      <sheetData sheetId="6">
        <row r="24">
          <cell r="I24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B3" t="str">
            <v>Город Астрахань, Город Астрахань (12701000);</v>
          </cell>
        </row>
      </sheetData>
      <sheetData sheetId="60"/>
      <sheetData sheetId="6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>
        <row r="3">
          <cell r="B3" t="str">
            <v>Версия 1.0.3</v>
          </cell>
        </row>
      </sheetData>
      <sheetData sheetId="3"/>
      <sheetData sheetId="4">
        <row r="7">
          <cell r="F7" t="str">
            <v>Астраханская область</v>
          </cell>
        </row>
        <row r="14">
          <cell r="F14" t="str">
            <v>06.04.2020</v>
          </cell>
        </row>
        <row r="20">
          <cell r="F20">
            <v>2019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25.03.2020</v>
          </cell>
        </row>
      </sheetData>
      <sheetData sheetId="5"/>
      <sheetData sheetId="6"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 t="str">
            <v/>
          </cell>
        </row>
        <row r="25">
          <cell r="I2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2">
          <cell r="K22">
            <v>0</v>
          </cell>
        </row>
        <row r="23">
          <cell r="K23" t="str">
            <v>y</v>
          </cell>
        </row>
        <row r="24">
          <cell r="K24" t="str">
            <v>i</v>
          </cell>
        </row>
        <row r="25">
          <cell r="K25">
            <v>0</v>
          </cell>
        </row>
        <row r="26">
          <cell r="K2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B3" t="str">
            <v>Город Астрахань, Город Астрахань (12701000);</v>
          </cell>
        </row>
      </sheetData>
      <sheetData sheetId="60"/>
      <sheetData sheetId="6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>
        <row r="3">
          <cell r="B3" t="str">
            <v>Версия 1.0.3</v>
          </cell>
        </row>
      </sheetData>
      <sheetData sheetId="3"/>
      <sheetData sheetId="4">
        <row r="7">
          <cell r="F7" t="str">
            <v>Астраханская область</v>
          </cell>
        </row>
        <row r="14">
          <cell r="F14" t="str">
            <v>06.04.2020</v>
          </cell>
        </row>
        <row r="20">
          <cell r="F20">
            <v>2019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25.03.2020</v>
          </cell>
        </row>
      </sheetData>
      <sheetData sheetId="5"/>
      <sheetData sheetId="6">
        <row r="24">
          <cell r="I24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B3" t="str">
            <v>Город Астрахань, Город Астрахань (12701000);</v>
          </cell>
        </row>
      </sheetData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1">
    <pageSetUpPr fitToPage="1"/>
  </sheetPr>
  <dimension ref="A1:AC367"/>
  <sheetViews>
    <sheetView showGridLines="0" topLeftCell="C20" zoomScaleNormal="100" workbookViewId="0">
      <selection activeCell="G88" sqref="G88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"/>
      <c r="C1" s="3"/>
      <c r="G1" s="2">
        <v>4</v>
      </c>
      <c r="K1" s="4"/>
      <c r="P1" s="4"/>
    </row>
    <row r="2" spans="1:29" s="2" customFormat="1" ht="22.5" hidden="1" x14ac:dyDescent="0.25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16"/>
      <c r="D4" s="17"/>
      <c r="E4" s="7"/>
      <c r="F4" s="8" t="s">
        <v>2</v>
      </c>
      <c r="G4" s="18"/>
      <c r="H4" s="19" t="s">
        <v>3</v>
      </c>
      <c r="I4" s="11"/>
    </row>
    <row r="5" spans="1:29" ht="10.5" hidden="1" customHeight="1" x14ac:dyDescent="0.25"/>
    <row r="6" spans="1:29" ht="22.5" hidden="1" x14ac:dyDescent="0.25">
      <c r="A6" s="120"/>
      <c r="B6" s="4" t="s">
        <v>4</v>
      </c>
      <c r="C6" s="16"/>
      <c r="D6" s="21">
        <f>A6</f>
        <v>0</v>
      </c>
      <c r="E6" s="22"/>
      <c r="F6" s="8" t="s">
        <v>5</v>
      </c>
      <c r="G6" s="8" t="s">
        <v>5</v>
      </c>
      <c r="H6" s="19" t="s">
        <v>6</v>
      </c>
      <c r="I6" s="11"/>
    </row>
    <row r="7" spans="1:29" s="2" customFormat="1" ht="11.25" hidden="1" x14ac:dyDescent="0.25">
      <c r="A7" s="120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22.5" hidden="1" x14ac:dyDescent="0.25">
      <c r="A8" s="120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20"/>
      <c r="C9" s="16"/>
      <c r="D9" s="21" t="str">
        <f>A6&amp;".2"</f>
        <v>.2</v>
      </c>
      <c r="E9" s="28" t="s">
        <v>10</v>
      </c>
      <c r="F9" s="8" t="s">
        <v>0</v>
      </c>
      <c r="G9" s="9"/>
      <c r="H9" s="19"/>
      <c r="I9" s="11"/>
    </row>
    <row r="10" spans="1:29" ht="18.75" hidden="1" x14ac:dyDescent="0.25">
      <c r="A10" s="120"/>
      <c r="C10" s="16"/>
      <c r="D10" s="21" t="str">
        <f>A6&amp;".3"</f>
        <v>.3</v>
      </c>
      <c r="E10" s="28" t="s">
        <v>11</v>
      </c>
      <c r="F10" s="8" t="s">
        <v>0</v>
      </c>
      <c r="G10" s="9"/>
      <c r="H10" s="19"/>
      <c r="I10" s="11"/>
    </row>
    <row r="11" spans="1:29" ht="18.75" hidden="1" x14ac:dyDescent="0.25">
      <c r="A11" s="120"/>
      <c r="C11" s="16"/>
      <c r="D11" s="21" t="str">
        <f>A6&amp;".4"</f>
        <v>.4</v>
      </c>
      <c r="E11" s="28" t="s">
        <v>12</v>
      </c>
      <c r="F11" s="8" t="s">
        <v>5</v>
      </c>
      <c r="G11" s="30"/>
      <c r="H11" s="19"/>
      <c r="I11" s="11"/>
    </row>
    <row r="12" spans="1:29" ht="10.5" hidden="1" customHeight="1" x14ac:dyDescent="0.25"/>
    <row r="13" spans="1:29" ht="22.5" hidden="1" x14ac:dyDescent="0.25">
      <c r="C13" s="16"/>
      <c r="D13" s="17"/>
      <c r="E13" s="7"/>
      <c r="F13" s="8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22.5" hidden="1" x14ac:dyDescent="0.25">
      <c r="C15" s="16"/>
      <c r="D15" s="17"/>
      <c r="E15" s="7"/>
      <c r="F15" s="8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18.75" hidden="1" x14ac:dyDescent="0.25">
      <c r="C17" s="16"/>
      <c r="D17" s="17"/>
      <c r="E17" s="7"/>
      <c r="F17" s="8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1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29" t="s">
        <v>18</v>
      </c>
      <c r="E21" s="130"/>
      <c r="F21" s="131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32" t="s">
        <v>19</v>
      </c>
      <c r="E24" s="132"/>
      <c r="F24" s="132"/>
      <c r="G24" s="132"/>
      <c r="H24" s="132" t="s">
        <v>20</v>
      </c>
    </row>
    <row r="25" spans="1:24" ht="112.5" x14ac:dyDescent="0.25">
      <c r="D25" s="132" t="s">
        <v>21</v>
      </c>
      <c r="E25" s="133" t="s">
        <v>22</v>
      </c>
      <c r="F25" s="133" t="s">
        <v>23</v>
      </c>
      <c r="G25" s="36" t="s">
        <v>24</v>
      </c>
      <c r="H25" s="132"/>
    </row>
    <row r="26" spans="1:24" ht="21" customHeight="1" x14ac:dyDescent="0.25">
      <c r="D26" s="132"/>
      <c r="E26" s="133"/>
      <c r="F26" s="133"/>
      <c r="G26" s="37" t="s">
        <v>25</v>
      </c>
      <c r="H26" s="132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33.75" x14ac:dyDescent="0.25">
      <c r="C28" s="16"/>
      <c r="D28" s="17" t="s">
        <v>26</v>
      </c>
      <c r="E28" s="40" t="s">
        <v>29</v>
      </c>
      <c r="F28" s="8" t="s">
        <v>5</v>
      </c>
      <c r="G28" s="41" t="str">
        <f>IF(buhg_flag="да",IF(dateBuhg="","Не указана",dateBuhg),"Не осуществлялась")</f>
        <v>25.03.2020</v>
      </c>
      <c r="H28" s="19" t="s">
        <v>30</v>
      </c>
      <c r="I28" s="11"/>
    </row>
    <row r="29" spans="1:24" ht="22.5" x14ac:dyDescent="0.25">
      <c r="C29" s="16"/>
      <c r="D29" s="17" t="s">
        <v>27</v>
      </c>
      <c r="E29" s="40" t="s">
        <v>31</v>
      </c>
      <c r="F29" s="8" t="s">
        <v>0</v>
      </c>
      <c r="G29" s="42">
        <f>394358.6213-10783.4-3791.5</f>
        <v>379783.72129999998</v>
      </c>
      <c r="H29" s="19" t="s">
        <v>32</v>
      </c>
      <c r="I29" s="11"/>
    </row>
    <row r="30" spans="1:24" ht="22.5" x14ac:dyDescent="0.25">
      <c r="C30" s="16"/>
      <c r="D30" s="17" t="s">
        <v>28</v>
      </c>
      <c r="E30" s="40" t="s">
        <v>33</v>
      </c>
      <c r="F30" s="8" t="s">
        <v>0</v>
      </c>
      <c r="G30" s="43">
        <f>SUM(G31:G32,G51,G54:G62,G65,G68,G72)</f>
        <v>397604.6879714661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8" t="s">
        <v>0</v>
      </c>
      <c r="G31" s="42">
        <f>502.7856+10.9202</f>
        <v>513.70579999999995</v>
      </c>
      <c r="H31" s="19"/>
      <c r="I31" s="11"/>
    </row>
    <row r="32" spans="1:24" ht="18.75" x14ac:dyDescent="0.25">
      <c r="C32" s="16"/>
      <c r="D32" s="17" t="s">
        <v>37</v>
      </c>
      <c r="E32" s="44" t="s">
        <v>38</v>
      </c>
      <c r="F32" s="8" t="s">
        <v>0</v>
      </c>
      <c r="G32" s="43">
        <f>SUMIF($E33:$E50,$E7,G33:G50)</f>
        <v>185149.92827146599</v>
      </c>
      <c r="H32" s="19" t="s">
        <v>39</v>
      </c>
      <c r="I32" s="11"/>
    </row>
    <row r="33" spans="1:29" s="53" customFormat="1" ht="5.25" hidden="1" x14ac:dyDescent="0.25">
      <c r="A33" s="119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19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19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19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19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ht="22.5" x14ac:dyDescent="0.25">
      <c r="A38" s="120" t="s">
        <v>41</v>
      </c>
      <c r="B38" s="4" t="s">
        <v>4</v>
      </c>
      <c r="C38" s="57" t="s">
        <v>42</v>
      </c>
      <c r="D38" s="17" t="str">
        <f>A38</f>
        <v>3.2.1</v>
      </c>
      <c r="E38" s="22" t="s">
        <v>43</v>
      </c>
      <c r="F38" s="8" t="s">
        <v>5</v>
      </c>
      <c r="G38" s="8" t="s">
        <v>5</v>
      </c>
      <c r="H38" s="19" t="s">
        <v>6</v>
      </c>
      <c r="I38" s="11"/>
    </row>
    <row r="39" spans="1:29" s="2" customFormat="1" ht="11.25" hidden="1" x14ac:dyDescent="0.25">
      <c r="A39" s="120"/>
      <c r="C39" s="23" t="s">
        <v>44</v>
      </c>
      <c r="D39" s="24"/>
      <c r="E39" s="25" t="s">
        <v>7</v>
      </c>
      <c r="F39" s="26"/>
      <c r="G39" s="26">
        <f>G40*G41+G42</f>
        <v>179444.62985469401</v>
      </c>
      <c r="H39" s="27"/>
      <c r="I39" s="4"/>
      <c r="K39" s="4"/>
      <c r="P39" s="4"/>
    </row>
    <row r="40" spans="1:29" ht="22.5" x14ac:dyDescent="0.25">
      <c r="A40" s="120"/>
      <c r="C40" s="16" t="s">
        <v>44</v>
      </c>
      <c r="D40" s="21" t="str">
        <f>A38&amp;".1"</f>
        <v>3.2.1.1</v>
      </c>
      <c r="E40" s="28" t="s">
        <v>8</v>
      </c>
      <c r="F40" s="29" t="s">
        <v>45</v>
      </c>
      <c r="G40" s="9">
        <f>41059.21-1469.65-269.09</f>
        <v>39320.47</v>
      </c>
      <c r="H40" s="19" t="s">
        <v>9</v>
      </c>
      <c r="I40" s="11"/>
    </row>
    <row r="41" spans="1:29" ht="18.75" x14ac:dyDescent="0.25">
      <c r="A41" s="120"/>
      <c r="C41" s="16" t="s">
        <v>44</v>
      </c>
      <c r="D41" s="21" t="str">
        <f>A38&amp;".2"</f>
        <v>3.2.1.2</v>
      </c>
      <c r="E41" s="28" t="s">
        <v>10</v>
      </c>
      <c r="F41" s="8" t="s">
        <v>0</v>
      </c>
      <c r="G41" s="9">
        <f>((162138562.97-1123782.37-(27102532.37*21.38/100))+(6298408.61-45729.66-(1151385.45*21.38/100)))/39320.47/1000</f>
        <v>4.10032667259786</v>
      </c>
      <c r="H41" s="19"/>
      <c r="I41" s="11"/>
    </row>
    <row r="42" spans="1:29" ht="18.75" x14ac:dyDescent="0.25">
      <c r="A42" s="120"/>
      <c r="C42" s="16" t="s">
        <v>44</v>
      </c>
      <c r="D42" s="21" t="str">
        <f>A38&amp;".3"</f>
        <v>3.2.1.3</v>
      </c>
      <c r="E42" s="28" t="s">
        <v>11</v>
      </c>
      <c r="F42" s="8" t="s">
        <v>0</v>
      </c>
      <c r="G42" s="9">
        <f>(19082.08654-139.55745-(3389.48155*21.38/100))/39320.47*G40</f>
        <v>18217.857934610001</v>
      </c>
      <c r="H42" s="19"/>
      <c r="I42" s="11"/>
    </row>
    <row r="43" spans="1:29" ht="18.75" x14ac:dyDescent="0.25">
      <c r="A43" s="120"/>
      <c r="C43" s="16" t="s">
        <v>44</v>
      </c>
      <c r="D43" s="21" t="str">
        <f>A38&amp;".4"</f>
        <v>3.2.1.4</v>
      </c>
      <c r="E43" s="28" t="s">
        <v>12</v>
      </c>
      <c r="F43" s="8" t="s">
        <v>5</v>
      </c>
      <c r="G43" s="30" t="s">
        <v>46</v>
      </c>
      <c r="H43" s="19"/>
      <c r="I43" s="11"/>
    </row>
    <row r="44" spans="1:29" ht="22.5" x14ac:dyDescent="0.25">
      <c r="A44" s="120" t="s">
        <v>47</v>
      </c>
      <c r="B44" s="4" t="s">
        <v>4</v>
      </c>
      <c r="C44" s="57" t="s">
        <v>42</v>
      </c>
      <c r="D44" s="17" t="str">
        <f>A44</f>
        <v>3.2.2</v>
      </c>
      <c r="E44" s="22" t="s">
        <v>48</v>
      </c>
      <c r="F44" s="8" t="s">
        <v>5</v>
      </c>
      <c r="G44" s="8" t="s">
        <v>5</v>
      </c>
      <c r="H44" s="19" t="s">
        <v>6</v>
      </c>
      <c r="I44" s="11"/>
    </row>
    <row r="45" spans="1:29" s="2" customFormat="1" ht="11.25" hidden="1" x14ac:dyDescent="0.25">
      <c r="A45" s="120"/>
      <c r="C45" s="23" t="s">
        <v>44</v>
      </c>
      <c r="D45" s="24"/>
      <c r="E45" s="25" t="s">
        <v>7</v>
      </c>
      <c r="F45" s="26"/>
      <c r="G45" s="26">
        <f>G46*G47+G48</f>
        <v>5705.2984167719987</v>
      </c>
      <c r="H45" s="27"/>
      <c r="I45" s="4"/>
      <c r="K45" s="4"/>
      <c r="P45" s="4"/>
    </row>
    <row r="46" spans="1:29" ht="22.5" x14ac:dyDescent="0.25">
      <c r="A46" s="120"/>
      <c r="C46" s="16" t="s">
        <v>44</v>
      </c>
      <c r="D46" s="21" t="str">
        <f>A44&amp;".1"</f>
        <v>3.2.2.1</v>
      </c>
      <c r="E46" s="28" t="s">
        <v>8</v>
      </c>
      <c r="F46" s="29" t="s">
        <v>49</v>
      </c>
      <c r="G46" s="9">
        <v>322.22699999999998</v>
      </c>
      <c r="H46" s="19" t="s">
        <v>9</v>
      </c>
      <c r="I46" s="11"/>
    </row>
    <row r="47" spans="1:29" ht="18.75" x14ac:dyDescent="0.25">
      <c r="A47" s="120"/>
      <c r="C47" s="16" t="s">
        <v>44</v>
      </c>
      <c r="D47" s="21" t="str">
        <f>A44&amp;".2"</f>
        <v>3.2.2.2</v>
      </c>
      <c r="E47" s="28" t="s">
        <v>10</v>
      </c>
      <c r="F47" s="8" t="s">
        <v>0</v>
      </c>
      <c r="G47" s="9">
        <f>17705.836/1000</f>
        <v>17.705835999999998</v>
      </c>
      <c r="H47" s="19"/>
      <c r="I47" s="11"/>
    </row>
    <row r="48" spans="1:29" ht="18.75" x14ac:dyDescent="0.25">
      <c r="A48" s="120"/>
      <c r="C48" s="16" t="s">
        <v>44</v>
      </c>
      <c r="D48" s="21" t="str">
        <f>A44&amp;".3"</f>
        <v>3.2.2.3</v>
      </c>
      <c r="E48" s="28" t="s">
        <v>11</v>
      </c>
      <c r="F48" s="8" t="s">
        <v>0</v>
      </c>
      <c r="G48" s="9">
        <v>0</v>
      </c>
      <c r="H48" s="19"/>
      <c r="I48" s="11"/>
    </row>
    <row r="49" spans="1:29" ht="18.75" x14ac:dyDescent="0.25">
      <c r="A49" s="120"/>
      <c r="C49" s="16" t="s">
        <v>44</v>
      </c>
      <c r="D49" s="21" t="str">
        <f>A44&amp;".4"</f>
        <v>3.2.2.4</v>
      </c>
      <c r="E49" s="28" t="s">
        <v>12</v>
      </c>
      <c r="F49" s="8" t="s">
        <v>5</v>
      </c>
      <c r="G49" s="30" t="s">
        <v>50</v>
      </c>
      <c r="H49" s="19"/>
      <c r="I49" s="11"/>
    </row>
    <row r="50" spans="1:29" s="2" customFormat="1" ht="18" customHeight="1" x14ac:dyDescent="0.25">
      <c r="A50" s="1"/>
      <c r="C50" s="58"/>
      <c r="D50" s="59"/>
      <c r="E50" s="60" t="s">
        <v>51</v>
      </c>
      <c r="F50" s="61"/>
      <c r="G50" s="62"/>
      <c r="H50" s="63"/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 x14ac:dyDescent="0.25">
      <c r="A51" s="1"/>
      <c r="C51" s="64"/>
      <c r="D51" s="17" t="s">
        <v>52</v>
      </c>
      <c r="E51" s="44" t="s">
        <v>53</v>
      </c>
      <c r="F51" s="8" t="s">
        <v>0</v>
      </c>
      <c r="G51" s="42">
        <f>35862.6417+439.2008+4166.2794-1277.66-636.12</f>
        <v>38554.341899999992</v>
      </c>
      <c r="H51" s="19"/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18.75" x14ac:dyDescent="0.25">
      <c r="A52" s="1"/>
      <c r="C52" s="65"/>
      <c r="D52" s="17" t="s">
        <v>54</v>
      </c>
      <c r="E52" s="66" t="s">
        <v>55</v>
      </c>
      <c r="F52" s="8" t="s">
        <v>56</v>
      </c>
      <c r="G52" s="42">
        <f>G51/G53</f>
        <v>5.0456644550081577</v>
      </c>
      <c r="H52" s="19"/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18.75" x14ac:dyDescent="0.25">
      <c r="A53" s="1"/>
      <c r="C53" s="16"/>
      <c r="D53" s="17" t="s">
        <v>57</v>
      </c>
      <c r="E53" s="66" t="s">
        <v>58</v>
      </c>
      <c r="F53" s="8" t="s">
        <v>59</v>
      </c>
      <c r="G53" s="67">
        <f>7933.8284+78.7251-260.8373-110.633</f>
        <v>7641.0832</v>
      </c>
      <c r="H53" s="19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1"/>
      <c r="C54" s="16"/>
      <c r="D54" s="17" t="s">
        <v>60</v>
      </c>
      <c r="E54" s="44" t="s">
        <v>61</v>
      </c>
      <c r="F54" s="8" t="s">
        <v>0</v>
      </c>
      <c r="G54" s="42">
        <f>4055.9338-199.92-2.95</f>
        <v>3853.0637999999999</v>
      </c>
      <c r="H54" s="19"/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22.5" x14ac:dyDescent="0.25">
      <c r="A55" s="1"/>
      <c r="C55" s="16"/>
      <c r="D55" s="17" t="s">
        <v>62</v>
      </c>
      <c r="E55" s="44" t="s">
        <v>63</v>
      </c>
      <c r="F55" s="8" t="s">
        <v>0</v>
      </c>
      <c r="G55" s="42">
        <f>242.3392-6.96-0</f>
        <v>235.3792</v>
      </c>
      <c r="H55" s="19"/>
      <c r="I55" s="11"/>
      <c r="K55" s="68"/>
      <c r="L55" s="3"/>
      <c r="M55" s="3"/>
      <c r="P55" s="4"/>
      <c r="S55" s="12"/>
      <c r="Y55" s="13"/>
      <c r="Z55" s="13"/>
      <c r="AA55" s="13"/>
      <c r="AB55" s="13"/>
      <c r="AC55" s="13"/>
    </row>
    <row r="56" spans="1:29" s="2" customFormat="1" ht="22.5" x14ac:dyDescent="0.25">
      <c r="A56" s="1"/>
      <c r="C56" s="65"/>
      <c r="D56" s="17" t="s">
        <v>64</v>
      </c>
      <c r="E56" s="44" t="s">
        <v>65</v>
      </c>
      <c r="F56" s="8" t="s">
        <v>0</v>
      </c>
      <c r="G56" s="42">
        <f>54503.6244+3798.287+5861.0889+202.6965-87.865-1648.85-1576.07</f>
        <v>61052.911800000002</v>
      </c>
      <c r="H56" s="19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22.5" x14ac:dyDescent="0.25">
      <c r="A57" s="1"/>
      <c r="C57" s="16"/>
      <c r="D57" s="17" t="s">
        <v>66</v>
      </c>
      <c r="E57" s="44" t="s">
        <v>67</v>
      </c>
      <c r="F57" s="8" t="s">
        <v>0</v>
      </c>
      <c r="G57" s="42">
        <f>16524.597+1303.7546+1799.6101+137.5552-26.873-503.93-480.96</f>
        <v>18753.753900000003</v>
      </c>
      <c r="H57" s="19"/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22.5" x14ac:dyDescent="0.25">
      <c r="A58" s="1"/>
      <c r="C58" s="65"/>
      <c r="D58" s="17" t="s">
        <v>68</v>
      </c>
      <c r="E58" s="44" t="s">
        <v>69</v>
      </c>
      <c r="F58" s="8" t="s">
        <v>0</v>
      </c>
      <c r="G58" s="42">
        <f>4773.5958+407.0693+5854.8111+605.9059+20571.8545+714.6047+860.0206+70.7552+5080.1053+496.0729+3138.0088+464.507+719.5797+73.1339+548.9836+53.949-77.445-1273.97-744.69</f>
        <v>42336.852300000013</v>
      </c>
      <c r="H58" s="19"/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22.5" x14ac:dyDescent="0.25">
      <c r="A59" s="1"/>
      <c r="C59" s="16"/>
      <c r="D59" s="17" t="s">
        <v>70</v>
      </c>
      <c r="E59" s="44" t="s">
        <v>71</v>
      </c>
      <c r="F59" s="8" t="s">
        <v>0</v>
      </c>
      <c r="G59" s="42">
        <f>1440.9437+149.7514+1772.1067+185.6287+6148.5682+550.8079+259.7315+21.4299+1478.8183+156.5702+945.5032+140.6012+217.7314+22.3898+160.0977+17.0601-23.934-393.8-227.96</f>
        <v>13022.045900000003</v>
      </c>
      <c r="H59" s="19"/>
      <c r="I59" s="11"/>
      <c r="K59" s="4"/>
      <c r="P59" s="4"/>
      <c r="S59" s="12"/>
      <c r="Y59" s="13"/>
      <c r="Z59" s="13"/>
      <c r="AA59" s="13"/>
      <c r="AB59" s="13"/>
      <c r="AC59" s="13"/>
    </row>
    <row r="60" spans="1:29" s="2" customFormat="1" ht="22.5" x14ac:dyDescent="0.25">
      <c r="A60" s="1"/>
      <c r="C60" s="16"/>
      <c r="D60" s="17" t="s">
        <v>72</v>
      </c>
      <c r="E60" s="44" t="s">
        <v>73</v>
      </c>
      <c r="F60" s="8" t="s">
        <v>0</v>
      </c>
      <c r="G60" s="42">
        <f>6518.1288-53.04-133.63</f>
        <v>6331.4588000000003</v>
      </c>
      <c r="H60" s="19"/>
      <c r="I60" s="11"/>
      <c r="K60" s="68"/>
      <c r="L60" s="3"/>
      <c r="M60" s="3"/>
      <c r="P60" s="4"/>
      <c r="S60" s="12"/>
      <c r="Y60" s="13"/>
      <c r="Z60" s="13"/>
      <c r="AA60" s="13"/>
      <c r="AB60" s="13"/>
      <c r="AC60" s="13"/>
    </row>
    <row r="61" spans="1:29" s="2" customFormat="1" ht="22.5" x14ac:dyDescent="0.25">
      <c r="A61" s="1"/>
      <c r="C61" s="16"/>
      <c r="D61" s="17" t="s">
        <v>74</v>
      </c>
      <c r="E61" s="44" t="s">
        <v>75</v>
      </c>
      <c r="F61" s="8" t="s">
        <v>0</v>
      </c>
      <c r="G61" s="42">
        <v>302.58999999999997</v>
      </c>
      <c r="H61" s="19"/>
      <c r="I61" s="11"/>
      <c r="K61" s="68"/>
      <c r="L61" s="3"/>
      <c r="M61" s="3"/>
      <c r="P61" s="4"/>
      <c r="S61" s="12"/>
      <c r="Y61" s="13"/>
      <c r="Z61" s="13"/>
      <c r="AA61" s="13"/>
      <c r="AB61" s="13"/>
      <c r="AC61" s="13"/>
    </row>
    <row r="62" spans="1:29" s="2" customFormat="1" ht="18.75" x14ac:dyDescent="0.25">
      <c r="A62" s="1"/>
      <c r="C62" s="16"/>
      <c r="D62" s="17" t="s">
        <v>76</v>
      </c>
      <c r="E62" s="44" t="s">
        <v>77</v>
      </c>
      <c r="F62" s="8" t="s">
        <v>0</v>
      </c>
      <c r="G62" s="42">
        <v>0</v>
      </c>
      <c r="H62" s="19" t="s">
        <v>78</v>
      </c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18.75" x14ac:dyDescent="0.25">
      <c r="A63" s="1"/>
      <c r="C63" s="16"/>
      <c r="D63" s="17" t="s">
        <v>79</v>
      </c>
      <c r="E63" s="66" t="s">
        <v>80</v>
      </c>
      <c r="F63" s="8" t="s">
        <v>0</v>
      </c>
      <c r="G63" s="42">
        <v>0</v>
      </c>
      <c r="H63" s="19" t="s">
        <v>81</v>
      </c>
      <c r="I63" s="11"/>
      <c r="K63" s="4"/>
      <c r="P63" s="4"/>
      <c r="S63" s="12"/>
      <c r="Y63" s="13"/>
      <c r="Z63" s="13"/>
      <c r="AA63" s="13"/>
      <c r="AB63" s="13"/>
      <c r="AC63" s="13"/>
    </row>
    <row r="64" spans="1:29" s="2" customFormat="1" ht="18.75" x14ac:dyDescent="0.25">
      <c r="A64" s="1"/>
      <c r="C64" s="16"/>
      <c r="D64" s="17" t="s">
        <v>82</v>
      </c>
      <c r="E64" s="66" t="s">
        <v>83</v>
      </c>
      <c r="F64" s="8" t="s">
        <v>0</v>
      </c>
      <c r="G64" s="42">
        <v>0</v>
      </c>
      <c r="H64" s="19" t="s">
        <v>84</v>
      </c>
      <c r="I64" s="11"/>
      <c r="K64" s="4"/>
      <c r="P64" s="4"/>
      <c r="S64" s="12"/>
      <c r="Y64" s="13"/>
      <c r="Z64" s="13"/>
      <c r="AA64" s="13"/>
      <c r="AB64" s="13"/>
      <c r="AC64" s="13"/>
    </row>
    <row r="65" spans="1:29" s="2" customFormat="1" ht="18.75" x14ac:dyDescent="0.25">
      <c r="A65" s="1"/>
      <c r="C65" s="16"/>
      <c r="D65" s="17" t="s">
        <v>85</v>
      </c>
      <c r="E65" s="44" t="s">
        <v>86</v>
      </c>
      <c r="F65" s="8" t="s">
        <v>0</v>
      </c>
      <c r="G65" s="42">
        <v>0</v>
      </c>
      <c r="H65" s="19" t="s">
        <v>87</v>
      </c>
      <c r="I65" s="11"/>
      <c r="K65" s="4"/>
      <c r="P65" s="4"/>
      <c r="S65" s="12"/>
      <c r="Y65" s="13"/>
      <c r="Z65" s="13"/>
      <c r="AA65" s="13"/>
      <c r="AB65" s="13"/>
      <c r="AC65" s="13"/>
    </row>
    <row r="66" spans="1:29" s="2" customFormat="1" ht="18.75" x14ac:dyDescent="0.25">
      <c r="A66" s="1"/>
      <c r="C66" s="16"/>
      <c r="D66" s="17" t="s">
        <v>88</v>
      </c>
      <c r="E66" s="66" t="s">
        <v>80</v>
      </c>
      <c r="F66" s="8" t="s">
        <v>0</v>
      </c>
      <c r="G66" s="42">
        <v>0</v>
      </c>
      <c r="H66" s="19" t="s">
        <v>89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18.75" x14ac:dyDescent="0.25">
      <c r="A67" s="1"/>
      <c r="C67" s="16"/>
      <c r="D67" s="17" t="s">
        <v>90</v>
      </c>
      <c r="E67" s="66" t="s">
        <v>83</v>
      </c>
      <c r="F67" s="8" t="s">
        <v>0</v>
      </c>
      <c r="G67" s="42">
        <v>0</v>
      </c>
      <c r="H67" s="19" t="s">
        <v>91</v>
      </c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22.5" x14ac:dyDescent="0.25">
      <c r="A68" s="1"/>
      <c r="C68" s="16"/>
      <c r="D68" s="121" t="s">
        <v>92</v>
      </c>
      <c r="E68" s="44" t="s">
        <v>93</v>
      </c>
      <c r="F68" s="123" t="s">
        <v>0</v>
      </c>
      <c r="G68" s="42">
        <f>1475.5013+3292.9362+3330.4809-369.2-5.2</f>
        <v>7724.5184000000008</v>
      </c>
      <c r="H68" s="19"/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45" x14ac:dyDescent="0.25">
      <c r="A69" s="1"/>
      <c r="C69" s="16"/>
      <c r="D69" s="122"/>
      <c r="E69" s="66" t="s">
        <v>94</v>
      </c>
      <c r="F69" s="124"/>
      <c r="G69" s="69" t="s">
        <v>95</v>
      </c>
      <c r="H69" s="19"/>
      <c r="I69" s="11"/>
      <c r="K69" s="4" t="e">
        <f ca="1">nerr(MATCH("есть",List01_flag_index_1,0))</f>
        <v>#NAME?</v>
      </c>
      <c r="P69" s="4"/>
      <c r="S69" s="12"/>
      <c r="Y69" s="13"/>
      <c r="Z69" s="13"/>
      <c r="AA69" s="13"/>
      <c r="AB69" s="13"/>
      <c r="AC69" s="13"/>
    </row>
    <row r="70" spans="1:29" s="4" customFormat="1" ht="5.25" hidden="1" x14ac:dyDescent="0.25">
      <c r="A70" s="70"/>
      <c r="C70" s="45"/>
      <c r="D70" s="125"/>
      <c r="E70" s="71"/>
      <c r="F70" s="127"/>
      <c r="G70" s="56"/>
      <c r="H70" s="50"/>
      <c r="S70" s="51"/>
      <c r="Y70" s="52"/>
      <c r="Z70" s="52"/>
      <c r="AA70" s="52"/>
      <c r="AB70" s="52"/>
      <c r="AC70" s="52"/>
    </row>
    <row r="71" spans="1:29" s="4" customFormat="1" ht="5.25" hidden="1" x14ac:dyDescent="0.25">
      <c r="A71" s="70"/>
      <c r="C71" s="45"/>
      <c r="D71" s="126"/>
      <c r="E71" s="72"/>
      <c r="F71" s="128"/>
      <c r="G71" s="73" t="s">
        <v>95</v>
      </c>
      <c r="H71" s="50"/>
      <c r="K71" s="4" t="e">
        <f ca="1">nerr(MATCH("есть",List01_flag_index_2,0))</f>
        <v>#NAME?</v>
      </c>
      <c r="S71" s="51"/>
      <c r="Y71" s="52"/>
      <c r="Z71" s="52"/>
      <c r="AA71" s="52"/>
      <c r="AB71" s="52"/>
      <c r="AC71" s="52"/>
    </row>
    <row r="72" spans="1:29" s="2" customFormat="1" ht="22.5" x14ac:dyDescent="0.25">
      <c r="A72" s="1"/>
      <c r="C72" s="16"/>
      <c r="D72" s="74" t="s">
        <v>96</v>
      </c>
      <c r="E72" s="75" t="s">
        <v>97</v>
      </c>
      <c r="F72" s="76" t="s">
        <v>0</v>
      </c>
      <c r="G72" s="77">
        <f>SUM(G73:G76)</f>
        <v>19774.137900000002</v>
      </c>
      <c r="H72" s="19" t="s">
        <v>98</v>
      </c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18.75" hidden="1" x14ac:dyDescent="0.25">
      <c r="A73" s="1"/>
      <c r="C73" s="16"/>
      <c r="D73" s="6" t="s">
        <v>99</v>
      </c>
      <c r="E73" s="66"/>
      <c r="F73" s="8"/>
      <c r="G73" s="78"/>
      <c r="H73" s="79"/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22.5" x14ac:dyDescent="0.25">
      <c r="A74" s="1"/>
      <c r="C74" s="57" t="s">
        <v>42</v>
      </c>
      <c r="D74" s="6" t="s">
        <v>100</v>
      </c>
      <c r="E74" s="80" t="s">
        <v>101</v>
      </c>
      <c r="F74" s="8" t="s">
        <v>0</v>
      </c>
      <c r="G74" s="9">
        <f>2627.649-69.05-62.5</f>
        <v>2496.0989999999997</v>
      </c>
      <c r="H74" s="10" t="s">
        <v>1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2" customFormat="1" ht="22.5" x14ac:dyDescent="0.25">
      <c r="A75" s="1"/>
      <c r="C75" s="57" t="s">
        <v>42</v>
      </c>
      <c r="D75" s="6" t="s">
        <v>102</v>
      </c>
      <c r="E75" s="81" t="s">
        <v>103</v>
      </c>
      <c r="F75" s="8" t="s">
        <v>0</v>
      </c>
      <c r="G75" s="9">
        <f>18156.2989-607.5-270.76</f>
        <v>17278.038900000003</v>
      </c>
      <c r="H75" s="10" t="s">
        <v>1</v>
      </c>
      <c r="I75" s="11"/>
      <c r="K75" s="4"/>
      <c r="P75" s="4"/>
      <c r="S75" s="12"/>
      <c r="Y75" s="13"/>
      <c r="Z75" s="13"/>
      <c r="AA75" s="13"/>
      <c r="AB75" s="13"/>
      <c r="AC75" s="13"/>
    </row>
    <row r="76" spans="1:29" s="2" customFormat="1" ht="18.75" x14ac:dyDescent="0.25">
      <c r="A76" s="1"/>
      <c r="C76" s="58"/>
      <c r="D76" s="59"/>
      <c r="E76" s="60" t="s">
        <v>104</v>
      </c>
      <c r="F76" s="61"/>
      <c r="G76" s="62"/>
      <c r="H76" s="63"/>
      <c r="I76" s="11"/>
      <c r="K76" s="4"/>
      <c r="P76" s="4"/>
      <c r="S76" s="12"/>
      <c r="Y76" s="13"/>
      <c r="Z76" s="13"/>
      <c r="AA76" s="13"/>
      <c r="AB76" s="13"/>
      <c r="AC76" s="13"/>
    </row>
    <row r="77" spans="1:29" s="2" customFormat="1" ht="22.5" x14ac:dyDescent="0.25">
      <c r="A77" s="1"/>
      <c r="C77" s="16"/>
      <c r="D77" s="17" t="s">
        <v>105</v>
      </c>
      <c r="E77" s="40" t="s">
        <v>106</v>
      </c>
      <c r="F77" s="8" t="s">
        <v>0</v>
      </c>
      <c r="G77" s="42">
        <f>G29-G30</f>
        <v>-17820.966671466129</v>
      </c>
      <c r="H77" s="19"/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22.5" x14ac:dyDescent="0.25">
      <c r="A78" s="1"/>
      <c r="C78" s="65"/>
      <c r="D78" s="17" t="s">
        <v>107</v>
      </c>
      <c r="E78" s="40" t="s">
        <v>108</v>
      </c>
      <c r="F78" s="8" t="s">
        <v>0</v>
      </c>
      <c r="G78" s="42">
        <v>0</v>
      </c>
      <c r="H78" s="19" t="s">
        <v>109</v>
      </c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33.75" x14ac:dyDescent="0.25">
      <c r="A79" s="1"/>
      <c r="C79" s="16"/>
      <c r="D79" s="17" t="s">
        <v>110</v>
      </c>
      <c r="E79" s="44" t="s">
        <v>111</v>
      </c>
      <c r="F79" s="8" t="s">
        <v>0</v>
      </c>
      <c r="G79" s="42">
        <v>0</v>
      </c>
      <c r="H79" s="19"/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18.75" x14ac:dyDescent="0.25">
      <c r="A80" s="1"/>
      <c r="C80" s="16"/>
      <c r="D80" s="17" t="s">
        <v>112</v>
      </c>
      <c r="E80" s="40" t="s">
        <v>113</v>
      </c>
      <c r="F80" s="8" t="s">
        <v>0</v>
      </c>
      <c r="G80" s="42">
        <f>G81+G84</f>
        <v>11996.05</v>
      </c>
      <c r="H80" s="19" t="s">
        <v>114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2" customFormat="1" ht="22.5" x14ac:dyDescent="0.25">
      <c r="A81" s="1"/>
      <c r="C81" s="16"/>
      <c r="D81" s="17" t="s">
        <v>115</v>
      </c>
      <c r="E81" s="44" t="s">
        <v>116</v>
      </c>
      <c r="F81" s="8" t="s">
        <v>0</v>
      </c>
      <c r="G81" s="42">
        <f>G82+G83</f>
        <v>11996.05</v>
      </c>
      <c r="H81" s="19" t="s">
        <v>117</v>
      </c>
      <c r="I81" s="11"/>
      <c r="K81" s="4"/>
      <c r="P81" s="4"/>
      <c r="S81" s="12"/>
      <c r="Y81" s="13"/>
      <c r="Z81" s="13"/>
      <c r="AA81" s="13"/>
      <c r="AB81" s="13"/>
      <c r="AC81" s="13"/>
    </row>
    <row r="82" spans="1:29" s="2" customFormat="1" ht="22.5" x14ac:dyDescent="0.25">
      <c r="A82" s="1"/>
      <c r="C82" s="16"/>
      <c r="D82" s="17" t="s">
        <v>118</v>
      </c>
      <c r="E82" s="66" t="s">
        <v>119</v>
      </c>
      <c r="F82" s="8" t="s">
        <v>0</v>
      </c>
      <c r="G82" s="42">
        <f>12128+(108-23.09)</f>
        <v>12212.91</v>
      </c>
      <c r="H82" s="19" t="s">
        <v>120</v>
      </c>
      <c r="I82" s="11"/>
      <c r="K82" s="4"/>
      <c r="P82" s="4"/>
      <c r="S82" s="12"/>
      <c r="Y82" s="13"/>
      <c r="Z82" s="13"/>
      <c r="AA82" s="13"/>
      <c r="AB82" s="13"/>
      <c r="AC82" s="13"/>
    </row>
    <row r="83" spans="1:29" s="2" customFormat="1" ht="22.5" x14ac:dyDescent="0.25">
      <c r="A83" s="1"/>
      <c r="C83" s="16"/>
      <c r="D83" s="17" t="s">
        <v>121</v>
      </c>
      <c r="E83" s="66" t="s">
        <v>122</v>
      </c>
      <c r="F83" s="8" t="s">
        <v>0</v>
      </c>
      <c r="G83" s="42">
        <f>-95-(155-33.14)</f>
        <v>-216.86</v>
      </c>
      <c r="H83" s="19" t="s">
        <v>123</v>
      </c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22.5" x14ac:dyDescent="0.25">
      <c r="A84" s="1"/>
      <c r="C84" s="16"/>
      <c r="D84" s="17" t="s">
        <v>124</v>
      </c>
      <c r="E84" s="44" t="s">
        <v>125</v>
      </c>
      <c r="F84" s="8" t="s">
        <v>0</v>
      </c>
      <c r="G84" s="42">
        <v>0</v>
      </c>
      <c r="H84" s="19"/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33.75" x14ac:dyDescent="0.25">
      <c r="A85" s="1"/>
      <c r="C85" s="16"/>
      <c r="D85" s="17" t="s">
        <v>126</v>
      </c>
      <c r="E85" s="40" t="s">
        <v>127</v>
      </c>
      <c r="F85" s="8" t="s">
        <v>128</v>
      </c>
      <c r="G85" s="82" t="s">
        <v>129</v>
      </c>
      <c r="H85" s="19" t="s">
        <v>130</v>
      </c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45" x14ac:dyDescent="0.25">
      <c r="A86" s="1"/>
      <c r="C86" s="16"/>
      <c r="D86" s="17" t="s">
        <v>131</v>
      </c>
      <c r="E86" s="40" t="s">
        <v>132</v>
      </c>
      <c r="F86" s="8" t="s">
        <v>16</v>
      </c>
      <c r="G86" s="42">
        <f>SUM(G88:G107)</f>
        <v>283.82400000000001</v>
      </c>
      <c r="H86" s="19" t="s">
        <v>133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s="53" customFormat="1" ht="5.25" hidden="1" x14ac:dyDescent="0.25">
      <c r="A87" s="70"/>
      <c r="B87" s="4"/>
      <c r="C87" s="45"/>
      <c r="D87" s="83" t="s">
        <v>134</v>
      </c>
      <c r="E87" s="84"/>
      <c r="F87" s="85"/>
      <c r="G87" s="86"/>
      <c r="H87" s="87"/>
      <c r="I87" s="4"/>
      <c r="J87" s="4"/>
      <c r="K87" s="4"/>
      <c r="L87" s="4"/>
      <c r="M87" s="4"/>
      <c r="N87" s="4"/>
      <c r="O87" s="4"/>
      <c r="P87" s="4"/>
      <c r="Q87" s="4"/>
      <c r="R87" s="4"/>
      <c r="S87" s="51"/>
      <c r="T87" s="4"/>
      <c r="U87" s="4"/>
      <c r="V87" s="4"/>
      <c r="W87" s="4"/>
      <c r="X87" s="4"/>
      <c r="Y87" s="52"/>
      <c r="Z87" s="52"/>
      <c r="AA87" s="52"/>
      <c r="AB87" s="52"/>
      <c r="AC87" s="52"/>
    </row>
    <row r="88" spans="1:29" ht="18.75" x14ac:dyDescent="0.25">
      <c r="C88" s="57" t="s">
        <v>42</v>
      </c>
      <c r="D88" s="17" t="s">
        <v>135</v>
      </c>
      <c r="E88" s="88" t="s">
        <v>136</v>
      </c>
      <c r="F88" s="8" t="s">
        <v>16</v>
      </c>
      <c r="G88" s="9">
        <v>113.66</v>
      </c>
      <c r="H88" s="19" t="s">
        <v>17</v>
      </c>
      <c r="I88" s="11"/>
    </row>
    <row r="89" spans="1:29" ht="18.75" x14ac:dyDescent="0.25">
      <c r="C89" s="57" t="s">
        <v>42</v>
      </c>
      <c r="D89" s="17" t="s">
        <v>137</v>
      </c>
      <c r="E89" s="88" t="s">
        <v>138</v>
      </c>
      <c r="F89" s="8" t="s">
        <v>16</v>
      </c>
      <c r="G89" s="9">
        <v>22.64</v>
      </c>
      <c r="H89" s="19" t="s">
        <v>17</v>
      </c>
      <c r="I89" s="11"/>
    </row>
    <row r="90" spans="1:29" ht="18.75" x14ac:dyDescent="0.25">
      <c r="C90" s="57" t="s">
        <v>42</v>
      </c>
      <c r="D90" s="17" t="s">
        <v>139</v>
      </c>
      <c r="E90" s="88" t="s">
        <v>140</v>
      </c>
      <c r="F90" s="8" t="s">
        <v>16</v>
      </c>
      <c r="G90" s="9">
        <v>3.98</v>
      </c>
      <c r="H90" s="19" t="s">
        <v>17</v>
      </c>
      <c r="I90" s="11"/>
    </row>
    <row r="91" spans="1:29" ht="18.75" x14ac:dyDescent="0.25">
      <c r="C91" s="57" t="s">
        <v>42</v>
      </c>
      <c r="D91" s="17" t="s">
        <v>141</v>
      </c>
      <c r="E91" s="88" t="s">
        <v>142</v>
      </c>
      <c r="F91" s="8" t="s">
        <v>16</v>
      </c>
      <c r="G91" s="9">
        <v>5.32</v>
      </c>
      <c r="H91" s="19" t="s">
        <v>17</v>
      </c>
      <c r="I91" s="11"/>
    </row>
    <row r="92" spans="1:29" ht="18.75" x14ac:dyDescent="0.25">
      <c r="C92" s="57" t="s">
        <v>42</v>
      </c>
      <c r="D92" s="17" t="s">
        <v>143</v>
      </c>
      <c r="E92" s="88" t="s">
        <v>144</v>
      </c>
      <c r="F92" s="8" t="s">
        <v>16</v>
      </c>
      <c r="G92" s="9">
        <v>89.98</v>
      </c>
      <c r="H92" s="19" t="s">
        <v>17</v>
      </c>
      <c r="I92" s="11"/>
    </row>
    <row r="93" spans="1:29" ht="18.75" x14ac:dyDescent="0.25">
      <c r="C93" s="57" t="s">
        <v>42</v>
      </c>
      <c r="D93" s="17" t="s">
        <v>145</v>
      </c>
      <c r="E93" s="88" t="s">
        <v>146</v>
      </c>
      <c r="F93" s="8" t="s">
        <v>16</v>
      </c>
      <c r="G93" s="9">
        <v>6.45</v>
      </c>
      <c r="H93" s="19" t="s">
        <v>17</v>
      </c>
      <c r="I93" s="11"/>
    </row>
    <row r="94" spans="1:29" ht="18.75" x14ac:dyDescent="0.25">
      <c r="C94" s="57" t="s">
        <v>42</v>
      </c>
      <c r="D94" s="17" t="s">
        <v>147</v>
      </c>
      <c r="E94" s="88" t="s">
        <v>148</v>
      </c>
      <c r="F94" s="8" t="s">
        <v>16</v>
      </c>
      <c r="G94" s="9">
        <v>4.33</v>
      </c>
      <c r="H94" s="19" t="s">
        <v>17</v>
      </c>
      <c r="I94" s="11"/>
    </row>
    <row r="95" spans="1:29" ht="18.75" x14ac:dyDescent="0.25">
      <c r="C95" s="57" t="s">
        <v>42</v>
      </c>
      <c r="D95" s="17" t="s">
        <v>149</v>
      </c>
      <c r="E95" s="88" t="s">
        <v>150</v>
      </c>
      <c r="F95" s="8" t="s">
        <v>16</v>
      </c>
      <c r="G95" s="9">
        <v>5.16</v>
      </c>
      <c r="H95" s="19" t="s">
        <v>17</v>
      </c>
      <c r="I95" s="11"/>
    </row>
    <row r="96" spans="1:29" ht="18.75" x14ac:dyDescent="0.25">
      <c r="C96" s="57" t="s">
        <v>42</v>
      </c>
      <c r="D96" s="17" t="s">
        <v>151</v>
      </c>
      <c r="E96" s="88" t="s">
        <v>152</v>
      </c>
      <c r="F96" s="8" t="s">
        <v>16</v>
      </c>
      <c r="G96" s="9">
        <v>2.0099999999999998</v>
      </c>
      <c r="H96" s="19" t="s">
        <v>17</v>
      </c>
      <c r="I96" s="11"/>
    </row>
    <row r="97" spans="1:29" ht="18.75" x14ac:dyDescent="0.25">
      <c r="C97" s="57" t="s">
        <v>42</v>
      </c>
      <c r="D97" s="17" t="s">
        <v>153</v>
      </c>
      <c r="E97" s="88" t="s">
        <v>154</v>
      </c>
      <c r="F97" s="8" t="s">
        <v>16</v>
      </c>
      <c r="G97" s="9">
        <v>0.218</v>
      </c>
      <c r="H97" s="19" t="s">
        <v>17</v>
      </c>
      <c r="I97" s="11"/>
    </row>
    <row r="98" spans="1:29" ht="18.75" x14ac:dyDescent="0.25">
      <c r="C98" s="57" t="s">
        <v>42</v>
      </c>
      <c r="D98" s="17" t="s">
        <v>155</v>
      </c>
      <c r="E98" s="88" t="s">
        <v>156</v>
      </c>
      <c r="F98" s="8" t="s">
        <v>16</v>
      </c>
      <c r="G98" s="9">
        <v>1.5</v>
      </c>
      <c r="H98" s="19" t="s">
        <v>17</v>
      </c>
      <c r="I98" s="11"/>
    </row>
    <row r="99" spans="1:29" ht="18.75" x14ac:dyDescent="0.25">
      <c r="C99" s="57" t="s">
        <v>42</v>
      </c>
      <c r="D99" s="17" t="s">
        <v>157</v>
      </c>
      <c r="E99" s="88" t="s">
        <v>158</v>
      </c>
      <c r="F99" s="8" t="s">
        <v>16</v>
      </c>
      <c r="G99" s="9">
        <v>5.3999999999999999E-2</v>
      </c>
      <c r="H99" s="19" t="s">
        <v>17</v>
      </c>
      <c r="I99" s="11"/>
    </row>
    <row r="100" spans="1:29" ht="18.75" x14ac:dyDescent="0.25">
      <c r="C100" s="57" t="s">
        <v>42</v>
      </c>
      <c r="D100" s="17" t="s">
        <v>159</v>
      </c>
      <c r="E100" s="88" t="s">
        <v>160</v>
      </c>
      <c r="F100" s="8" t="s">
        <v>16</v>
      </c>
      <c r="G100" s="9">
        <v>1.72</v>
      </c>
      <c r="H100" s="19" t="s">
        <v>17</v>
      </c>
      <c r="I100" s="11"/>
    </row>
    <row r="101" spans="1:29" ht="18.75" x14ac:dyDescent="0.25">
      <c r="C101" s="57" t="s">
        <v>42</v>
      </c>
      <c r="D101" s="17" t="s">
        <v>161</v>
      </c>
      <c r="E101" s="88" t="s">
        <v>162</v>
      </c>
      <c r="F101" s="8" t="s">
        <v>16</v>
      </c>
      <c r="G101" s="9">
        <v>0.17199999999999999</v>
      </c>
      <c r="H101" s="19" t="s">
        <v>17</v>
      </c>
      <c r="I101" s="11"/>
    </row>
    <row r="102" spans="1:29" ht="18.75" x14ac:dyDescent="0.25">
      <c r="C102" s="57" t="s">
        <v>42</v>
      </c>
      <c r="D102" s="17" t="s">
        <v>163</v>
      </c>
      <c r="E102" s="88" t="s">
        <v>164</v>
      </c>
      <c r="F102" s="8" t="s">
        <v>16</v>
      </c>
      <c r="G102" s="9">
        <v>3.44</v>
      </c>
      <c r="H102" s="19" t="s">
        <v>17</v>
      </c>
      <c r="I102" s="11"/>
    </row>
    <row r="103" spans="1:29" ht="18.75" x14ac:dyDescent="0.25">
      <c r="C103" s="57" t="s">
        <v>42</v>
      </c>
      <c r="D103" s="17" t="s">
        <v>165</v>
      </c>
      <c r="E103" s="88" t="s">
        <v>166</v>
      </c>
      <c r="F103" s="8" t="s">
        <v>16</v>
      </c>
      <c r="G103" s="9">
        <v>3.32</v>
      </c>
      <c r="H103" s="19" t="s">
        <v>17</v>
      </c>
      <c r="I103" s="11"/>
    </row>
    <row r="104" spans="1:29" ht="18.75" x14ac:dyDescent="0.25">
      <c r="C104" s="57" t="s">
        <v>42</v>
      </c>
      <c r="D104" s="17" t="s">
        <v>167</v>
      </c>
      <c r="E104" s="88" t="s">
        <v>168</v>
      </c>
      <c r="F104" s="8" t="s">
        <v>16</v>
      </c>
      <c r="G104" s="9">
        <v>0.76</v>
      </c>
      <c r="H104" s="19" t="s">
        <v>17</v>
      </c>
      <c r="I104" s="11"/>
    </row>
    <row r="105" spans="1:29" ht="18.75" x14ac:dyDescent="0.25">
      <c r="C105" s="57" t="s">
        <v>42</v>
      </c>
      <c r="D105" s="17" t="s">
        <v>169</v>
      </c>
      <c r="E105" s="88" t="s">
        <v>170</v>
      </c>
      <c r="F105" s="8" t="s">
        <v>16</v>
      </c>
      <c r="G105" s="9">
        <v>0.47</v>
      </c>
      <c r="H105" s="19" t="s">
        <v>17</v>
      </c>
      <c r="I105" s="11"/>
    </row>
    <row r="106" spans="1:29" ht="18.75" x14ac:dyDescent="0.25">
      <c r="C106" s="57" t="s">
        <v>42</v>
      </c>
      <c r="D106" s="17" t="s">
        <v>171</v>
      </c>
      <c r="E106" s="88" t="s">
        <v>172</v>
      </c>
      <c r="F106" s="8" t="s">
        <v>16</v>
      </c>
      <c r="G106" s="9">
        <v>13.32</v>
      </c>
      <c r="H106" s="19" t="s">
        <v>17</v>
      </c>
      <c r="I106" s="11"/>
    </row>
    <row r="107" spans="1:29" ht="18.75" x14ac:dyDescent="0.25">
      <c r="C107" s="57" t="s">
        <v>42</v>
      </c>
      <c r="D107" s="17" t="s">
        <v>173</v>
      </c>
      <c r="E107" s="88" t="s">
        <v>174</v>
      </c>
      <c r="F107" s="8" t="s">
        <v>16</v>
      </c>
      <c r="G107" s="9">
        <v>5.32</v>
      </c>
      <c r="H107" s="19" t="s">
        <v>17</v>
      </c>
      <c r="I107" s="11"/>
    </row>
    <row r="108" spans="1:29" ht="22.5" x14ac:dyDescent="0.25">
      <c r="C108" s="58"/>
      <c r="D108" s="59"/>
      <c r="E108" s="89" t="s">
        <v>175</v>
      </c>
      <c r="F108" s="61"/>
      <c r="G108" s="62"/>
      <c r="H108" s="90" t="s">
        <v>176</v>
      </c>
      <c r="I108" s="11"/>
    </row>
    <row r="109" spans="1:29" s="2" customFormat="1" ht="22.5" x14ac:dyDescent="0.25">
      <c r="A109" s="1"/>
      <c r="C109" s="16"/>
      <c r="D109" s="17" t="s">
        <v>177</v>
      </c>
      <c r="E109" s="44" t="s">
        <v>178</v>
      </c>
      <c r="F109" s="8" t="s">
        <v>16</v>
      </c>
      <c r="G109" s="42">
        <f>122.7615-4.0694-0.9008</f>
        <v>117.79129999999999</v>
      </c>
      <c r="H109" s="19" t="s">
        <v>179</v>
      </c>
      <c r="I109" s="11"/>
      <c r="K109" s="4"/>
      <c r="P109" s="4"/>
      <c r="S109" s="12"/>
      <c r="Y109" s="13"/>
      <c r="Z109" s="13"/>
      <c r="AA109" s="13"/>
      <c r="AB109" s="13"/>
      <c r="AC109" s="13"/>
    </row>
    <row r="110" spans="1:29" s="2" customFormat="1" ht="22.5" x14ac:dyDescent="0.25">
      <c r="A110" s="1"/>
      <c r="C110" s="16"/>
      <c r="D110" s="17" t="s">
        <v>180</v>
      </c>
      <c r="E110" s="44" t="s">
        <v>181</v>
      </c>
      <c r="F110" s="8" t="s">
        <v>182</v>
      </c>
      <c r="G110" s="67">
        <f>295.935-10.7-2.022</f>
        <v>283.21300000000002</v>
      </c>
      <c r="H110" s="19" t="s">
        <v>183</v>
      </c>
      <c r="I110" s="11"/>
      <c r="K110" s="4"/>
      <c r="P110" s="4"/>
      <c r="S110" s="12"/>
      <c r="Y110" s="13"/>
      <c r="Z110" s="13"/>
      <c r="AA110" s="13"/>
      <c r="AB110" s="13"/>
      <c r="AC110" s="13"/>
    </row>
    <row r="111" spans="1:29" s="2" customFormat="1" ht="18.75" x14ac:dyDescent="0.25">
      <c r="A111" s="1"/>
      <c r="C111" s="16"/>
      <c r="D111" s="17" t="s">
        <v>184</v>
      </c>
      <c r="E111" s="44" t="s">
        <v>185</v>
      </c>
      <c r="F111" s="8" t="s">
        <v>182</v>
      </c>
      <c r="G111" s="18"/>
      <c r="H111" s="19" t="s">
        <v>186</v>
      </c>
      <c r="I111" s="11"/>
      <c r="K111" s="4"/>
      <c r="P111" s="4"/>
      <c r="S111" s="12"/>
      <c r="Y111" s="13"/>
      <c r="Z111" s="13"/>
      <c r="AA111" s="13"/>
      <c r="AB111" s="13"/>
      <c r="AC111" s="13"/>
    </row>
    <row r="112" spans="1:29" s="2" customFormat="1" ht="33.75" x14ac:dyDescent="0.25">
      <c r="A112" s="1"/>
      <c r="C112" s="16"/>
      <c r="D112" s="17" t="s">
        <v>187</v>
      </c>
      <c r="E112" s="44" t="s">
        <v>188</v>
      </c>
      <c r="F112" s="8" t="s">
        <v>182</v>
      </c>
      <c r="G112" s="67">
        <f>240.968-9.426-2.022</f>
        <v>229.52</v>
      </c>
      <c r="H112" s="19" t="s">
        <v>189</v>
      </c>
      <c r="I112" s="11"/>
      <c r="K112" s="4"/>
      <c r="P112" s="4"/>
      <c r="S112" s="12"/>
      <c r="Y112" s="13"/>
      <c r="Z112" s="13"/>
      <c r="AA112" s="13"/>
      <c r="AB112" s="13"/>
      <c r="AC112" s="13"/>
    </row>
    <row r="113" spans="1:29" s="2" customFormat="1" ht="18.75" x14ac:dyDescent="0.25">
      <c r="A113" s="1"/>
      <c r="C113" s="16"/>
      <c r="D113" s="17" t="s">
        <v>190</v>
      </c>
      <c r="E113" s="66" t="s">
        <v>191</v>
      </c>
      <c r="F113" s="8" t="s">
        <v>182</v>
      </c>
      <c r="G113" s="67">
        <v>55.957999999999998</v>
      </c>
      <c r="H113" s="19"/>
      <c r="I113" s="11"/>
      <c r="K113" s="4"/>
      <c r="P113" s="4"/>
      <c r="S113" s="12"/>
      <c r="Y113" s="13"/>
      <c r="Z113" s="13"/>
      <c r="AA113" s="13"/>
      <c r="AB113" s="13"/>
      <c r="AC113" s="13"/>
    </row>
    <row r="114" spans="1:29" s="2" customFormat="1" ht="45" x14ac:dyDescent="0.25">
      <c r="A114" s="1"/>
      <c r="C114" s="16"/>
      <c r="D114" s="17" t="s">
        <v>192</v>
      </c>
      <c r="E114" s="28" t="s">
        <v>193</v>
      </c>
      <c r="F114" s="8" t="s">
        <v>182</v>
      </c>
      <c r="G114" s="67">
        <v>0</v>
      </c>
      <c r="H114" s="19"/>
      <c r="I114" s="11"/>
      <c r="K114" s="4"/>
      <c r="P114" s="4"/>
      <c r="S114" s="12"/>
      <c r="Y114" s="13"/>
      <c r="Z114" s="13"/>
      <c r="AA114" s="13"/>
      <c r="AB114" s="13"/>
      <c r="AC114" s="13"/>
    </row>
    <row r="115" spans="1:29" s="2" customFormat="1" ht="22.5" x14ac:dyDescent="0.25">
      <c r="A115" s="1"/>
      <c r="C115" s="16"/>
      <c r="D115" s="17" t="s">
        <v>194</v>
      </c>
      <c r="E115" s="44" t="s">
        <v>195</v>
      </c>
      <c r="F115" s="8" t="s">
        <v>182</v>
      </c>
      <c r="G115" s="67">
        <f>G112-G113</f>
        <v>173.56200000000001</v>
      </c>
      <c r="H115" s="19"/>
      <c r="I115" s="11"/>
      <c r="K115" s="4"/>
      <c r="P115" s="4"/>
      <c r="S115" s="12"/>
      <c r="Y115" s="13"/>
      <c r="Z115" s="13"/>
      <c r="AA115" s="13"/>
      <c r="AB115" s="13"/>
      <c r="AC115" s="13"/>
    </row>
    <row r="116" spans="1:29" s="2" customFormat="1" ht="22.5" x14ac:dyDescent="0.25">
      <c r="A116" s="1"/>
      <c r="C116" s="16"/>
      <c r="D116" s="17" t="s">
        <v>196</v>
      </c>
      <c r="E116" s="40" t="s">
        <v>197</v>
      </c>
      <c r="F116" s="8" t="s">
        <v>198</v>
      </c>
      <c r="G116" s="42">
        <f>(18713+2779+217+2239+5080+981+569+302+93+18+192+15+918+310+73+2035+125+315)*1000000000/12</f>
        <v>2914500000000</v>
      </c>
      <c r="H116" s="19"/>
      <c r="I116" s="11"/>
      <c r="K116" s="4"/>
      <c r="P116" s="4"/>
      <c r="S116" s="12"/>
      <c r="Y116" s="13"/>
      <c r="Z116" s="13"/>
      <c r="AA116" s="13"/>
      <c r="AB116" s="13"/>
      <c r="AC116" s="13"/>
    </row>
    <row r="117" spans="1:29" s="2" customFormat="1" ht="22.5" x14ac:dyDescent="0.25">
      <c r="A117" s="1"/>
      <c r="C117" s="16"/>
      <c r="D117" s="17" t="s">
        <v>199</v>
      </c>
      <c r="E117" s="40" t="s">
        <v>200</v>
      </c>
      <c r="F117" s="8" t="s">
        <v>201</v>
      </c>
      <c r="G117" s="42">
        <v>33.981999999999999</v>
      </c>
      <c r="H117" s="19"/>
      <c r="I117" s="11"/>
      <c r="K117" s="4"/>
      <c r="P117" s="4"/>
      <c r="S117" s="12"/>
      <c r="Y117" s="13"/>
      <c r="Z117" s="13"/>
      <c r="AA117" s="13"/>
      <c r="AB117" s="13"/>
      <c r="AC117" s="13"/>
    </row>
    <row r="118" spans="1:29" s="2" customFormat="1" ht="22.5" x14ac:dyDescent="0.25">
      <c r="A118" s="1"/>
      <c r="C118" s="16"/>
      <c r="D118" s="17" t="s">
        <v>202</v>
      </c>
      <c r="E118" s="44" t="s">
        <v>203</v>
      </c>
      <c r="F118" s="8" t="s">
        <v>201</v>
      </c>
      <c r="G118" s="42">
        <v>34.515999999999998</v>
      </c>
      <c r="H118" s="19" t="s">
        <v>204</v>
      </c>
      <c r="I118" s="11"/>
      <c r="K118" s="4"/>
      <c r="P118" s="4"/>
      <c r="S118" s="12"/>
      <c r="Y118" s="13"/>
      <c r="Z118" s="13"/>
      <c r="AA118" s="13"/>
      <c r="AB118" s="13"/>
      <c r="AC118" s="13"/>
    </row>
    <row r="119" spans="1:29" ht="22.5" x14ac:dyDescent="0.25">
      <c r="C119" s="16"/>
      <c r="D119" s="17" t="s">
        <v>205</v>
      </c>
      <c r="E119" s="40" t="s">
        <v>206</v>
      </c>
      <c r="F119" s="8" t="s">
        <v>207</v>
      </c>
      <c r="G119" s="42">
        <v>274</v>
      </c>
      <c r="H119" s="19"/>
      <c r="I119" s="11"/>
    </row>
    <row r="120" spans="1:29" ht="22.5" x14ac:dyDescent="0.25">
      <c r="C120" s="16"/>
      <c r="D120" s="17" t="s">
        <v>208</v>
      </c>
      <c r="E120" s="40" t="s">
        <v>209</v>
      </c>
      <c r="F120" s="8" t="s">
        <v>207</v>
      </c>
      <c r="G120" s="42">
        <v>86</v>
      </c>
      <c r="H120" s="19"/>
      <c r="I120" s="11"/>
    </row>
    <row r="121" spans="1:29" ht="56.25" x14ac:dyDescent="0.25">
      <c r="C121" s="16"/>
      <c r="D121" s="17" t="s">
        <v>210</v>
      </c>
      <c r="E121" s="40" t="s">
        <v>211</v>
      </c>
      <c r="F121" s="8" t="s">
        <v>2</v>
      </c>
      <c r="G121" s="67">
        <f>(G123*$G$88+G124*$G$89+G125*$G$90+G126*$G$91+G127*$G$92+G128*$G$93+G129*$G$94+G130*$G$95+G131*$G$96+G132*$G$97+G133*$G$98+G134*$G$99+G135*$G$100+G136*$G$101+G137*$G$102+G138*$G$103+G139*$G$104+G140*$G$105+G141*$G$106+G142*$G$107)/$G$86</f>
        <v>160.84572439258133</v>
      </c>
      <c r="H121" s="19" t="s">
        <v>212</v>
      </c>
      <c r="I121" s="11"/>
    </row>
    <row r="122" spans="1:29" s="53" customFormat="1" ht="5.25" hidden="1" x14ac:dyDescent="0.25">
      <c r="A122" s="70"/>
      <c r="B122" s="4"/>
      <c r="C122" s="45"/>
      <c r="D122" s="91" t="s">
        <v>213</v>
      </c>
      <c r="E122" s="92"/>
      <c r="F122" s="85"/>
      <c r="G122" s="86"/>
      <c r="H122" s="8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51"/>
      <c r="T122" s="4"/>
      <c r="U122" s="4"/>
      <c r="V122" s="4"/>
      <c r="W122" s="4"/>
      <c r="X122" s="4"/>
      <c r="Y122" s="52"/>
      <c r="Z122" s="52"/>
      <c r="AA122" s="52"/>
      <c r="AB122" s="52"/>
      <c r="AC122" s="52"/>
    </row>
    <row r="123" spans="1:29" ht="22.5" x14ac:dyDescent="0.25">
      <c r="C123" s="57" t="s">
        <v>42</v>
      </c>
      <c r="D123" s="17" t="s">
        <v>214</v>
      </c>
      <c r="E123" s="88" t="s">
        <v>136</v>
      </c>
      <c r="F123" s="8" t="s">
        <v>2</v>
      </c>
      <c r="G123" s="9">
        <v>158</v>
      </c>
      <c r="H123" s="19" t="s">
        <v>3</v>
      </c>
      <c r="I123" s="11"/>
    </row>
    <row r="124" spans="1:29" ht="22.5" x14ac:dyDescent="0.25">
      <c r="C124" s="57" t="s">
        <v>42</v>
      </c>
      <c r="D124" s="17" t="s">
        <v>215</v>
      </c>
      <c r="E124" s="88" t="s">
        <v>138</v>
      </c>
      <c r="F124" s="8" t="s">
        <v>2</v>
      </c>
      <c r="G124" s="9">
        <v>167.61</v>
      </c>
      <c r="H124" s="19" t="s">
        <v>3</v>
      </c>
      <c r="I124" s="11"/>
    </row>
    <row r="125" spans="1:29" ht="22.5" x14ac:dyDescent="0.25">
      <c r="C125" s="57" t="s">
        <v>42</v>
      </c>
      <c r="D125" s="17" t="s">
        <v>216</v>
      </c>
      <c r="E125" s="88" t="s">
        <v>140</v>
      </c>
      <c r="F125" s="8" t="s">
        <v>2</v>
      </c>
      <c r="G125" s="9">
        <v>171.13</v>
      </c>
      <c r="H125" s="19" t="s">
        <v>3</v>
      </c>
      <c r="I125" s="11"/>
    </row>
    <row r="126" spans="1:29" ht="22.5" x14ac:dyDescent="0.25">
      <c r="C126" s="57" t="s">
        <v>42</v>
      </c>
      <c r="D126" s="17" t="s">
        <v>217</v>
      </c>
      <c r="E126" s="88" t="s">
        <v>142</v>
      </c>
      <c r="F126" s="8" t="s">
        <v>2</v>
      </c>
      <c r="G126" s="9">
        <v>172.82</v>
      </c>
      <c r="H126" s="19" t="s">
        <v>3</v>
      </c>
      <c r="I126" s="11"/>
    </row>
    <row r="127" spans="1:29" ht="22.5" x14ac:dyDescent="0.25">
      <c r="C127" s="57" t="s">
        <v>42</v>
      </c>
      <c r="D127" s="17" t="s">
        <v>218</v>
      </c>
      <c r="E127" s="88" t="s">
        <v>144</v>
      </c>
      <c r="F127" s="8" t="s">
        <v>2</v>
      </c>
      <c r="G127" s="9">
        <v>159.32</v>
      </c>
      <c r="H127" s="19" t="s">
        <v>3</v>
      </c>
      <c r="I127" s="11"/>
    </row>
    <row r="128" spans="1:29" ht="22.5" x14ac:dyDescent="0.25">
      <c r="C128" s="57" t="s">
        <v>42</v>
      </c>
      <c r="D128" s="17" t="s">
        <v>219</v>
      </c>
      <c r="E128" s="88" t="s">
        <v>146</v>
      </c>
      <c r="F128" s="8" t="s">
        <v>2</v>
      </c>
      <c r="G128" s="9">
        <v>159.08000000000001</v>
      </c>
      <c r="H128" s="19" t="s">
        <v>3</v>
      </c>
      <c r="I128" s="11"/>
    </row>
    <row r="129" spans="3:9" ht="22.5" x14ac:dyDescent="0.25">
      <c r="C129" s="57" t="s">
        <v>42</v>
      </c>
      <c r="D129" s="17" t="s">
        <v>220</v>
      </c>
      <c r="E129" s="88" t="s">
        <v>148</v>
      </c>
      <c r="F129" s="8" t="s">
        <v>2</v>
      </c>
      <c r="G129" s="9">
        <v>160.07</v>
      </c>
      <c r="H129" s="19" t="s">
        <v>3</v>
      </c>
      <c r="I129" s="11"/>
    </row>
    <row r="130" spans="3:9" ht="22.5" x14ac:dyDescent="0.25">
      <c r="C130" s="57" t="s">
        <v>42</v>
      </c>
      <c r="D130" s="17" t="s">
        <v>221</v>
      </c>
      <c r="E130" s="88" t="s">
        <v>150</v>
      </c>
      <c r="F130" s="8" t="s">
        <v>2</v>
      </c>
      <c r="G130" s="9">
        <v>173.23</v>
      </c>
      <c r="H130" s="19" t="s">
        <v>3</v>
      </c>
      <c r="I130" s="11"/>
    </row>
    <row r="131" spans="3:9" ht="22.5" x14ac:dyDescent="0.25">
      <c r="C131" s="57" t="s">
        <v>42</v>
      </c>
      <c r="D131" s="17" t="s">
        <v>222</v>
      </c>
      <c r="E131" s="88" t="s">
        <v>152</v>
      </c>
      <c r="F131" s="8" t="s">
        <v>2</v>
      </c>
      <c r="G131" s="9">
        <v>176.62</v>
      </c>
      <c r="H131" s="19" t="s">
        <v>3</v>
      </c>
      <c r="I131" s="11"/>
    </row>
    <row r="132" spans="3:9" ht="22.5" x14ac:dyDescent="0.25">
      <c r="C132" s="57" t="s">
        <v>42</v>
      </c>
      <c r="D132" s="17" t="s">
        <v>223</v>
      </c>
      <c r="E132" s="88" t="s">
        <v>154</v>
      </c>
      <c r="F132" s="8" t="s">
        <v>2</v>
      </c>
      <c r="G132" s="18">
        <v>154.84</v>
      </c>
      <c r="H132" s="19" t="s">
        <v>3</v>
      </c>
      <c r="I132" s="11"/>
    </row>
    <row r="133" spans="3:9" ht="22.5" x14ac:dyDescent="0.25">
      <c r="C133" s="57" t="s">
        <v>42</v>
      </c>
      <c r="D133" s="17" t="s">
        <v>224</v>
      </c>
      <c r="E133" s="88" t="s">
        <v>156</v>
      </c>
      <c r="F133" s="8" t="s">
        <v>2</v>
      </c>
      <c r="G133" s="18">
        <v>172.42</v>
      </c>
      <c r="H133" s="19" t="s">
        <v>3</v>
      </c>
      <c r="I133" s="11"/>
    </row>
    <row r="134" spans="3:9" ht="22.5" x14ac:dyDescent="0.25">
      <c r="C134" s="57" t="s">
        <v>42</v>
      </c>
      <c r="D134" s="17" t="s">
        <v>225</v>
      </c>
      <c r="E134" s="88" t="s">
        <v>158</v>
      </c>
      <c r="F134" s="8" t="s">
        <v>2</v>
      </c>
      <c r="G134" s="18">
        <v>181.3</v>
      </c>
      <c r="H134" s="19" t="s">
        <v>3</v>
      </c>
      <c r="I134" s="11"/>
    </row>
    <row r="135" spans="3:9" ht="22.5" x14ac:dyDescent="0.25">
      <c r="C135" s="57" t="s">
        <v>42</v>
      </c>
      <c r="D135" s="17" t="s">
        <v>226</v>
      </c>
      <c r="E135" s="88" t="s">
        <v>160</v>
      </c>
      <c r="F135" s="8" t="s">
        <v>2</v>
      </c>
      <c r="G135" s="18">
        <v>161.03</v>
      </c>
      <c r="H135" s="19" t="s">
        <v>3</v>
      </c>
      <c r="I135" s="11"/>
    </row>
    <row r="136" spans="3:9" ht="22.5" x14ac:dyDescent="0.25">
      <c r="C136" s="57" t="s">
        <v>42</v>
      </c>
      <c r="D136" s="17" t="s">
        <v>227</v>
      </c>
      <c r="E136" s="88" t="s">
        <v>162</v>
      </c>
      <c r="F136" s="8" t="s">
        <v>2</v>
      </c>
      <c r="G136" s="18">
        <v>180.13</v>
      </c>
      <c r="H136" s="19" t="s">
        <v>3</v>
      </c>
      <c r="I136" s="11"/>
    </row>
    <row r="137" spans="3:9" ht="22.5" x14ac:dyDescent="0.25">
      <c r="C137" s="57" t="s">
        <v>42</v>
      </c>
      <c r="D137" s="17" t="s">
        <v>228</v>
      </c>
      <c r="E137" s="88" t="s">
        <v>164</v>
      </c>
      <c r="F137" s="8" t="s">
        <v>2</v>
      </c>
      <c r="G137" s="18">
        <v>156.62</v>
      </c>
      <c r="H137" s="19" t="s">
        <v>3</v>
      </c>
      <c r="I137" s="11"/>
    </row>
    <row r="138" spans="3:9" ht="22.5" x14ac:dyDescent="0.25">
      <c r="C138" s="57" t="s">
        <v>42</v>
      </c>
      <c r="D138" s="17" t="s">
        <v>229</v>
      </c>
      <c r="E138" s="88" t="s">
        <v>166</v>
      </c>
      <c r="F138" s="8" t="s">
        <v>2</v>
      </c>
      <c r="G138" s="18">
        <v>158.56</v>
      </c>
      <c r="H138" s="19" t="s">
        <v>3</v>
      </c>
      <c r="I138" s="11"/>
    </row>
    <row r="139" spans="3:9" ht="22.5" x14ac:dyDescent="0.25">
      <c r="C139" s="57" t="s">
        <v>42</v>
      </c>
      <c r="D139" s="17" t="s">
        <v>230</v>
      </c>
      <c r="E139" s="88" t="s">
        <v>168</v>
      </c>
      <c r="F139" s="8" t="s">
        <v>2</v>
      </c>
      <c r="G139" s="18">
        <v>177.7</v>
      </c>
      <c r="H139" s="19" t="s">
        <v>3</v>
      </c>
      <c r="I139" s="11"/>
    </row>
    <row r="140" spans="3:9" ht="22.5" x14ac:dyDescent="0.25">
      <c r="C140" s="57" t="s">
        <v>42</v>
      </c>
      <c r="D140" s="17" t="s">
        <v>231</v>
      </c>
      <c r="E140" s="88" t="s">
        <v>170</v>
      </c>
      <c r="F140" s="8" t="s">
        <v>2</v>
      </c>
      <c r="G140" s="18">
        <v>177.43</v>
      </c>
      <c r="H140" s="19" t="s">
        <v>3</v>
      </c>
      <c r="I140" s="11"/>
    </row>
    <row r="141" spans="3:9" ht="22.5" x14ac:dyDescent="0.25">
      <c r="C141" s="57" t="s">
        <v>42</v>
      </c>
      <c r="D141" s="17" t="s">
        <v>232</v>
      </c>
      <c r="E141" s="88" t="s">
        <v>172</v>
      </c>
      <c r="F141" s="8" t="s">
        <v>2</v>
      </c>
      <c r="G141" s="18">
        <v>170.78</v>
      </c>
      <c r="H141" s="19" t="s">
        <v>3</v>
      </c>
      <c r="I141" s="11"/>
    </row>
    <row r="142" spans="3:9" ht="22.5" x14ac:dyDescent="0.25">
      <c r="C142" s="57" t="s">
        <v>42</v>
      </c>
      <c r="D142" s="17" t="s">
        <v>233</v>
      </c>
      <c r="E142" s="88" t="s">
        <v>174</v>
      </c>
      <c r="F142" s="8" t="s">
        <v>2</v>
      </c>
      <c r="G142" s="18">
        <v>155.30000000000001</v>
      </c>
      <c r="H142" s="19" t="s">
        <v>3</v>
      </c>
      <c r="I142" s="11"/>
    </row>
    <row r="143" spans="3:9" ht="22.5" x14ac:dyDescent="0.25">
      <c r="C143" s="58"/>
      <c r="D143" s="59"/>
      <c r="E143" s="89" t="s">
        <v>175</v>
      </c>
      <c r="F143" s="61"/>
      <c r="G143" s="62"/>
      <c r="H143" s="90" t="s">
        <v>234</v>
      </c>
      <c r="I143" s="11"/>
    </row>
    <row r="144" spans="3:9" ht="45" x14ac:dyDescent="0.25">
      <c r="C144" s="16"/>
      <c r="D144" s="17" t="s">
        <v>235</v>
      </c>
      <c r="E144" s="40" t="s">
        <v>236</v>
      </c>
      <c r="F144" s="8" t="s">
        <v>13</v>
      </c>
      <c r="G144" s="67">
        <f>(G146*$G$88+G147*$G$89+G148*$G$90+G149*$G$91+G150*$G$92+G151*$G$93+G152*$G$94+G153*$G$95+G154*$G$96+G155*$G$97+G156*$G$98+G157*$G$99+G158*$G$100+G159*$G$101+G160*$G$102+G161*$G$103+G162*$G$104+G163*$G$105+G164*$G$106+G165*$G$107)/$G$86</f>
        <v>160.84572439258133</v>
      </c>
      <c r="H144" s="19" t="s">
        <v>237</v>
      </c>
      <c r="I144" s="11"/>
    </row>
    <row r="145" spans="1:29" s="53" customFormat="1" ht="5.25" hidden="1" x14ac:dyDescent="0.25">
      <c r="A145" s="70"/>
      <c r="B145" s="4"/>
      <c r="C145" s="45"/>
      <c r="D145" s="83" t="s">
        <v>238</v>
      </c>
      <c r="E145" s="84"/>
      <c r="F145" s="85"/>
      <c r="G145" s="86"/>
      <c r="H145" s="8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51"/>
      <c r="T145" s="4"/>
      <c r="U145" s="4"/>
      <c r="V145" s="4"/>
      <c r="W145" s="4"/>
      <c r="X145" s="4"/>
      <c r="Y145" s="52"/>
      <c r="Z145" s="52"/>
      <c r="AA145" s="52"/>
      <c r="AB145" s="52"/>
      <c r="AC145" s="52"/>
    </row>
    <row r="146" spans="1:29" ht="22.5" x14ac:dyDescent="0.25">
      <c r="C146" s="57" t="s">
        <v>42</v>
      </c>
      <c r="D146" s="17" t="s">
        <v>239</v>
      </c>
      <c r="E146" s="88" t="s">
        <v>136</v>
      </c>
      <c r="F146" s="8" t="s">
        <v>13</v>
      </c>
      <c r="G146" s="9">
        <v>158</v>
      </c>
      <c r="H146" s="19" t="s">
        <v>14</v>
      </c>
      <c r="I146" s="11"/>
    </row>
    <row r="147" spans="1:29" ht="22.5" x14ac:dyDescent="0.25">
      <c r="C147" s="57" t="s">
        <v>42</v>
      </c>
      <c r="D147" s="17" t="s">
        <v>240</v>
      </c>
      <c r="E147" s="88" t="s">
        <v>138</v>
      </c>
      <c r="F147" s="8" t="s">
        <v>13</v>
      </c>
      <c r="G147" s="9">
        <v>167.61</v>
      </c>
      <c r="H147" s="19" t="s">
        <v>14</v>
      </c>
      <c r="I147" s="11"/>
    </row>
    <row r="148" spans="1:29" ht="22.5" x14ac:dyDescent="0.25">
      <c r="C148" s="57" t="s">
        <v>42</v>
      </c>
      <c r="D148" s="17" t="s">
        <v>241</v>
      </c>
      <c r="E148" s="88" t="s">
        <v>140</v>
      </c>
      <c r="F148" s="8" t="s">
        <v>13</v>
      </c>
      <c r="G148" s="9">
        <v>171.13</v>
      </c>
      <c r="H148" s="19" t="s">
        <v>14</v>
      </c>
      <c r="I148" s="11"/>
    </row>
    <row r="149" spans="1:29" ht="22.5" x14ac:dyDescent="0.25">
      <c r="C149" s="57" t="s">
        <v>42</v>
      </c>
      <c r="D149" s="17" t="s">
        <v>242</v>
      </c>
      <c r="E149" s="88" t="s">
        <v>142</v>
      </c>
      <c r="F149" s="8" t="s">
        <v>13</v>
      </c>
      <c r="G149" s="9">
        <v>172.82</v>
      </c>
      <c r="H149" s="19" t="s">
        <v>14</v>
      </c>
      <c r="I149" s="11"/>
    </row>
    <row r="150" spans="1:29" ht="22.5" x14ac:dyDescent="0.25">
      <c r="C150" s="57" t="s">
        <v>42</v>
      </c>
      <c r="D150" s="17" t="s">
        <v>243</v>
      </c>
      <c r="E150" s="88" t="s">
        <v>144</v>
      </c>
      <c r="F150" s="8" t="s">
        <v>13</v>
      </c>
      <c r="G150" s="9">
        <v>159.32</v>
      </c>
      <c r="H150" s="19" t="s">
        <v>14</v>
      </c>
      <c r="I150" s="11"/>
    </row>
    <row r="151" spans="1:29" ht="22.5" x14ac:dyDescent="0.25">
      <c r="C151" s="57" t="s">
        <v>42</v>
      </c>
      <c r="D151" s="17" t="s">
        <v>244</v>
      </c>
      <c r="E151" s="88" t="s">
        <v>146</v>
      </c>
      <c r="F151" s="8" t="s">
        <v>13</v>
      </c>
      <c r="G151" s="9">
        <v>159.08000000000001</v>
      </c>
      <c r="H151" s="19" t="s">
        <v>14</v>
      </c>
      <c r="I151" s="11"/>
    </row>
    <row r="152" spans="1:29" ht="22.5" x14ac:dyDescent="0.25">
      <c r="C152" s="57" t="s">
        <v>42</v>
      </c>
      <c r="D152" s="17" t="s">
        <v>245</v>
      </c>
      <c r="E152" s="88" t="s">
        <v>148</v>
      </c>
      <c r="F152" s="8" t="s">
        <v>13</v>
      </c>
      <c r="G152" s="9">
        <v>160.07</v>
      </c>
      <c r="H152" s="19" t="s">
        <v>14</v>
      </c>
      <c r="I152" s="11"/>
    </row>
    <row r="153" spans="1:29" ht="22.5" x14ac:dyDescent="0.25">
      <c r="C153" s="57" t="s">
        <v>42</v>
      </c>
      <c r="D153" s="17" t="s">
        <v>246</v>
      </c>
      <c r="E153" s="88" t="s">
        <v>150</v>
      </c>
      <c r="F153" s="8" t="s">
        <v>13</v>
      </c>
      <c r="G153" s="9">
        <v>173.23</v>
      </c>
      <c r="H153" s="19" t="s">
        <v>14</v>
      </c>
      <c r="I153" s="11"/>
    </row>
    <row r="154" spans="1:29" ht="22.5" x14ac:dyDescent="0.25">
      <c r="C154" s="57" t="s">
        <v>42</v>
      </c>
      <c r="D154" s="17" t="s">
        <v>247</v>
      </c>
      <c r="E154" s="88" t="s">
        <v>152</v>
      </c>
      <c r="F154" s="8" t="s">
        <v>13</v>
      </c>
      <c r="G154" s="9">
        <v>176.62</v>
      </c>
      <c r="H154" s="19" t="s">
        <v>14</v>
      </c>
      <c r="I154" s="11"/>
    </row>
    <row r="155" spans="1:29" ht="22.5" x14ac:dyDescent="0.25">
      <c r="C155" s="57" t="s">
        <v>42</v>
      </c>
      <c r="D155" s="17" t="s">
        <v>248</v>
      </c>
      <c r="E155" s="88" t="s">
        <v>154</v>
      </c>
      <c r="F155" s="8" t="s">
        <v>13</v>
      </c>
      <c r="G155" s="18">
        <v>154.84</v>
      </c>
      <c r="H155" s="19" t="s">
        <v>14</v>
      </c>
      <c r="I155" s="11"/>
    </row>
    <row r="156" spans="1:29" ht="22.5" x14ac:dyDescent="0.25">
      <c r="C156" s="57" t="s">
        <v>42</v>
      </c>
      <c r="D156" s="17" t="s">
        <v>249</v>
      </c>
      <c r="E156" s="88" t="s">
        <v>156</v>
      </c>
      <c r="F156" s="8" t="s">
        <v>13</v>
      </c>
      <c r="G156" s="18">
        <v>172.42</v>
      </c>
      <c r="H156" s="19" t="s">
        <v>14</v>
      </c>
      <c r="I156" s="11"/>
    </row>
    <row r="157" spans="1:29" ht="22.5" x14ac:dyDescent="0.25">
      <c r="C157" s="57" t="s">
        <v>42</v>
      </c>
      <c r="D157" s="17" t="s">
        <v>250</v>
      </c>
      <c r="E157" s="88" t="s">
        <v>158</v>
      </c>
      <c r="F157" s="8" t="s">
        <v>13</v>
      </c>
      <c r="G157" s="18">
        <v>181.3</v>
      </c>
      <c r="H157" s="19" t="s">
        <v>14</v>
      </c>
      <c r="I157" s="11"/>
    </row>
    <row r="158" spans="1:29" ht="22.5" x14ac:dyDescent="0.25">
      <c r="C158" s="57" t="s">
        <v>42</v>
      </c>
      <c r="D158" s="17" t="s">
        <v>251</v>
      </c>
      <c r="E158" s="88" t="s">
        <v>160</v>
      </c>
      <c r="F158" s="8" t="s">
        <v>13</v>
      </c>
      <c r="G158" s="18">
        <v>161.03</v>
      </c>
      <c r="H158" s="19" t="s">
        <v>14</v>
      </c>
      <c r="I158" s="11"/>
    </row>
    <row r="159" spans="1:29" ht="22.5" x14ac:dyDescent="0.25">
      <c r="C159" s="57" t="s">
        <v>42</v>
      </c>
      <c r="D159" s="17" t="s">
        <v>252</v>
      </c>
      <c r="E159" s="88" t="s">
        <v>162</v>
      </c>
      <c r="F159" s="8" t="s">
        <v>13</v>
      </c>
      <c r="G159" s="18">
        <v>180.13</v>
      </c>
      <c r="H159" s="19" t="s">
        <v>14</v>
      </c>
      <c r="I159" s="11"/>
    </row>
    <row r="160" spans="1:29" ht="22.5" x14ac:dyDescent="0.25">
      <c r="C160" s="57" t="s">
        <v>42</v>
      </c>
      <c r="D160" s="17" t="s">
        <v>253</v>
      </c>
      <c r="E160" s="88" t="s">
        <v>164</v>
      </c>
      <c r="F160" s="8" t="s">
        <v>13</v>
      </c>
      <c r="G160" s="18">
        <v>156.62</v>
      </c>
      <c r="H160" s="19" t="s">
        <v>14</v>
      </c>
      <c r="I160" s="11"/>
    </row>
    <row r="161" spans="1:29" ht="22.5" x14ac:dyDescent="0.25">
      <c r="C161" s="57" t="s">
        <v>42</v>
      </c>
      <c r="D161" s="17" t="s">
        <v>254</v>
      </c>
      <c r="E161" s="88" t="s">
        <v>166</v>
      </c>
      <c r="F161" s="8" t="s">
        <v>13</v>
      </c>
      <c r="G161" s="18">
        <v>158.56</v>
      </c>
      <c r="H161" s="19" t="s">
        <v>14</v>
      </c>
      <c r="I161" s="11"/>
    </row>
    <row r="162" spans="1:29" ht="22.5" x14ac:dyDescent="0.25">
      <c r="C162" s="57" t="s">
        <v>42</v>
      </c>
      <c r="D162" s="17" t="s">
        <v>255</v>
      </c>
      <c r="E162" s="88" t="s">
        <v>168</v>
      </c>
      <c r="F162" s="8" t="s">
        <v>13</v>
      </c>
      <c r="G162" s="18">
        <v>177.7</v>
      </c>
      <c r="H162" s="19" t="s">
        <v>14</v>
      </c>
      <c r="I162" s="11"/>
    </row>
    <row r="163" spans="1:29" ht="22.5" x14ac:dyDescent="0.25">
      <c r="C163" s="57" t="s">
        <v>42</v>
      </c>
      <c r="D163" s="17" t="s">
        <v>256</v>
      </c>
      <c r="E163" s="88" t="s">
        <v>170</v>
      </c>
      <c r="F163" s="8" t="s">
        <v>13</v>
      </c>
      <c r="G163" s="18">
        <v>177.43</v>
      </c>
      <c r="H163" s="19" t="s">
        <v>14</v>
      </c>
      <c r="I163" s="11"/>
    </row>
    <row r="164" spans="1:29" ht="22.5" x14ac:dyDescent="0.25">
      <c r="C164" s="57" t="s">
        <v>42</v>
      </c>
      <c r="D164" s="17" t="s">
        <v>257</v>
      </c>
      <c r="E164" s="88" t="s">
        <v>172</v>
      </c>
      <c r="F164" s="8" t="s">
        <v>13</v>
      </c>
      <c r="G164" s="18">
        <v>170.78</v>
      </c>
      <c r="H164" s="19" t="s">
        <v>14</v>
      </c>
      <c r="I164" s="11"/>
    </row>
    <row r="165" spans="1:29" ht="22.5" x14ac:dyDescent="0.25">
      <c r="C165" s="57" t="s">
        <v>42</v>
      </c>
      <c r="D165" s="17" t="s">
        <v>258</v>
      </c>
      <c r="E165" s="88" t="s">
        <v>174</v>
      </c>
      <c r="F165" s="8" t="s">
        <v>13</v>
      </c>
      <c r="G165" s="18">
        <v>155.30000000000001</v>
      </c>
      <c r="H165" s="19" t="s">
        <v>14</v>
      </c>
      <c r="I165" s="11"/>
    </row>
    <row r="166" spans="1:29" ht="22.5" x14ac:dyDescent="0.25">
      <c r="C166" s="58"/>
      <c r="D166" s="59"/>
      <c r="E166" s="89" t="s">
        <v>175</v>
      </c>
      <c r="F166" s="61"/>
      <c r="G166" s="62"/>
      <c r="H166" s="90" t="s">
        <v>259</v>
      </c>
      <c r="I166" s="11"/>
    </row>
    <row r="167" spans="1:29" ht="33.75" x14ac:dyDescent="0.25">
      <c r="C167" s="16"/>
      <c r="D167" s="17" t="s">
        <v>260</v>
      </c>
      <c r="E167" s="40" t="s">
        <v>261</v>
      </c>
      <c r="F167" s="8" t="s">
        <v>13</v>
      </c>
      <c r="G167" s="67">
        <f>(G169*$G$88+G170*$G$89+G171*$G$90+G172*$G$91+G173*$G$92+G174*$G$93+G175*$G$94+G176*$G$95+G177*$G$96+G178*$G$97+G179*$G$98+G180*$G$99+G181*$G$100+G182*$G$101+G183*$G$102+G184*$G$103+G185*$G$104+G186*$G$105+G187*$G$106+G188*$G$107)/$G$86</f>
        <v>160.84572439258133</v>
      </c>
      <c r="H167" s="19" t="s">
        <v>262</v>
      </c>
      <c r="I167" s="11"/>
    </row>
    <row r="168" spans="1:29" s="53" customFormat="1" ht="5.25" hidden="1" x14ac:dyDescent="0.25">
      <c r="A168" s="70"/>
      <c r="B168" s="4"/>
      <c r="C168" s="45"/>
      <c r="D168" s="83" t="s">
        <v>263</v>
      </c>
      <c r="E168" s="84"/>
      <c r="F168" s="85"/>
      <c r="G168" s="86"/>
      <c r="H168" s="8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51"/>
      <c r="T168" s="4"/>
      <c r="U168" s="4"/>
      <c r="V168" s="4"/>
      <c r="W168" s="4"/>
      <c r="X168" s="4"/>
      <c r="Y168" s="52"/>
      <c r="Z168" s="52"/>
      <c r="AA168" s="52"/>
      <c r="AB168" s="52"/>
      <c r="AC168" s="52"/>
    </row>
    <row r="169" spans="1:29" ht="22.5" x14ac:dyDescent="0.25">
      <c r="C169" s="57" t="s">
        <v>42</v>
      </c>
      <c r="D169" s="17" t="s">
        <v>264</v>
      </c>
      <c r="E169" s="88" t="s">
        <v>136</v>
      </c>
      <c r="F169" s="8" t="s">
        <v>13</v>
      </c>
      <c r="G169" s="9">
        <v>158</v>
      </c>
      <c r="H169" s="19" t="s">
        <v>15</v>
      </c>
      <c r="I169" s="11"/>
    </row>
    <row r="170" spans="1:29" ht="22.5" x14ac:dyDescent="0.25">
      <c r="C170" s="57" t="s">
        <v>42</v>
      </c>
      <c r="D170" s="17" t="s">
        <v>265</v>
      </c>
      <c r="E170" s="88" t="s">
        <v>138</v>
      </c>
      <c r="F170" s="8" t="s">
        <v>13</v>
      </c>
      <c r="G170" s="9">
        <v>167.61</v>
      </c>
      <c r="H170" s="19" t="s">
        <v>15</v>
      </c>
      <c r="I170" s="11"/>
    </row>
    <row r="171" spans="1:29" ht="22.5" x14ac:dyDescent="0.25">
      <c r="C171" s="57" t="s">
        <v>42</v>
      </c>
      <c r="D171" s="17" t="s">
        <v>266</v>
      </c>
      <c r="E171" s="88" t="s">
        <v>140</v>
      </c>
      <c r="F171" s="8" t="s">
        <v>13</v>
      </c>
      <c r="G171" s="9">
        <v>171.13</v>
      </c>
      <c r="H171" s="19" t="s">
        <v>15</v>
      </c>
      <c r="I171" s="11"/>
    </row>
    <row r="172" spans="1:29" ht="22.5" x14ac:dyDescent="0.25">
      <c r="C172" s="57" t="s">
        <v>42</v>
      </c>
      <c r="D172" s="17" t="s">
        <v>267</v>
      </c>
      <c r="E172" s="88" t="s">
        <v>142</v>
      </c>
      <c r="F172" s="8" t="s">
        <v>13</v>
      </c>
      <c r="G172" s="9">
        <v>172.82</v>
      </c>
      <c r="H172" s="19" t="s">
        <v>15</v>
      </c>
      <c r="I172" s="11"/>
    </row>
    <row r="173" spans="1:29" ht="22.5" x14ac:dyDescent="0.25">
      <c r="C173" s="57" t="s">
        <v>42</v>
      </c>
      <c r="D173" s="17" t="s">
        <v>268</v>
      </c>
      <c r="E173" s="88" t="s">
        <v>144</v>
      </c>
      <c r="F173" s="8" t="s">
        <v>13</v>
      </c>
      <c r="G173" s="9">
        <v>159.32</v>
      </c>
      <c r="H173" s="19" t="s">
        <v>15</v>
      </c>
      <c r="I173" s="11"/>
    </row>
    <row r="174" spans="1:29" ht="22.5" x14ac:dyDescent="0.25">
      <c r="C174" s="57" t="s">
        <v>42</v>
      </c>
      <c r="D174" s="17" t="s">
        <v>269</v>
      </c>
      <c r="E174" s="88" t="s">
        <v>146</v>
      </c>
      <c r="F174" s="8" t="s">
        <v>13</v>
      </c>
      <c r="G174" s="9">
        <v>159.08000000000001</v>
      </c>
      <c r="H174" s="19" t="s">
        <v>15</v>
      </c>
      <c r="I174" s="11"/>
    </row>
    <row r="175" spans="1:29" ht="22.5" x14ac:dyDescent="0.25">
      <c r="C175" s="57" t="s">
        <v>42</v>
      </c>
      <c r="D175" s="17" t="s">
        <v>270</v>
      </c>
      <c r="E175" s="88" t="s">
        <v>148</v>
      </c>
      <c r="F175" s="8" t="s">
        <v>13</v>
      </c>
      <c r="G175" s="9">
        <v>160.07</v>
      </c>
      <c r="H175" s="19" t="s">
        <v>15</v>
      </c>
      <c r="I175" s="11"/>
    </row>
    <row r="176" spans="1:29" ht="22.5" x14ac:dyDescent="0.25">
      <c r="C176" s="57" t="s">
        <v>42</v>
      </c>
      <c r="D176" s="17" t="s">
        <v>271</v>
      </c>
      <c r="E176" s="88" t="s">
        <v>150</v>
      </c>
      <c r="F176" s="8" t="s">
        <v>13</v>
      </c>
      <c r="G176" s="9">
        <v>173.23</v>
      </c>
      <c r="H176" s="19" t="s">
        <v>15</v>
      </c>
      <c r="I176" s="11"/>
    </row>
    <row r="177" spans="3:9" ht="22.5" x14ac:dyDescent="0.25">
      <c r="C177" s="57" t="s">
        <v>42</v>
      </c>
      <c r="D177" s="17" t="s">
        <v>272</v>
      </c>
      <c r="E177" s="88" t="s">
        <v>152</v>
      </c>
      <c r="F177" s="8" t="s">
        <v>13</v>
      </c>
      <c r="G177" s="9">
        <v>176.62</v>
      </c>
      <c r="H177" s="19" t="s">
        <v>15</v>
      </c>
      <c r="I177" s="11"/>
    </row>
    <row r="178" spans="3:9" ht="22.5" x14ac:dyDescent="0.25">
      <c r="C178" s="57" t="s">
        <v>42</v>
      </c>
      <c r="D178" s="17" t="s">
        <v>273</v>
      </c>
      <c r="E178" s="88" t="s">
        <v>154</v>
      </c>
      <c r="F178" s="8" t="s">
        <v>13</v>
      </c>
      <c r="G178" s="18">
        <v>154.84</v>
      </c>
      <c r="H178" s="19" t="s">
        <v>15</v>
      </c>
      <c r="I178" s="11"/>
    </row>
    <row r="179" spans="3:9" ht="22.5" x14ac:dyDescent="0.25">
      <c r="C179" s="57" t="s">
        <v>42</v>
      </c>
      <c r="D179" s="17" t="s">
        <v>274</v>
      </c>
      <c r="E179" s="88" t="s">
        <v>156</v>
      </c>
      <c r="F179" s="8" t="s">
        <v>13</v>
      </c>
      <c r="G179" s="18">
        <v>172.42</v>
      </c>
      <c r="H179" s="19" t="s">
        <v>15</v>
      </c>
      <c r="I179" s="11"/>
    </row>
    <row r="180" spans="3:9" ht="22.5" x14ac:dyDescent="0.25">
      <c r="C180" s="57" t="s">
        <v>42</v>
      </c>
      <c r="D180" s="17" t="s">
        <v>275</v>
      </c>
      <c r="E180" s="88" t="s">
        <v>158</v>
      </c>
      <c r="F180" s="8" t="s">
        <v>13</v>
      </c>
      <c r="G180" s="18">
        <v>181.3</v>
      </c>
      <c r="H180" s="19" t="s">
        <v>15</v>
      </c>
      <c r="I180" s="11"/>
    </row>
    <row r="181" spans="3:9" ht="22.5" x14ac:dyDescent="0.25">
      <c r="C181" s="57" t="s">
        <v>42</v>
      </c>
      <c r="D181" s="17" t="s">
        <v>276</v>
      </c>
      <c r="E181" s="88" t="s">
        <v>160</v>
      </c>
      <c r="F181" s="8" t="s">
        <v>13</v>
      </c>
      <c r="G181" s="18">
        <v>161.03</v>
      </c>
      <c r="H181" s="19" t="s">
        <v>15</v>
      </c>
      <c r="I181" s="11"/>
    </row>
    <row r="182" spans="3:9" ht="22.5" x14ac:dyDescent="0.25">
      <c r="C182" s="57" t="s">
        <v>42</v>
      </c>
      <c r="D182" s="17" t="s">
        <v>277</v>
      </c>
      <c r="E182" s="88" t="s">
        <v>162</v>
      </c>
      <c r="F182" s="8" t="s">
        <v>13</v>
      </c>
      <c r="G182" s="18">
        <v>180.13</v>
      </c>
      <c r="H182" s="19" t="s">
        <v>15</v>
      </c>
      <c r="I182" s="11"/>
    </row>
    <row r="183" spans="3:9" ht="22.5" x14ac:dyDescent="0.25">
      <c r="C183" s="57" t="s">
        <v>42</v>
      </c>
      <c r="D183" s="17" t="s">
        <v>278</v>
      </c>
      <c r="E183" s="88" t="s">
        <v>164</v>
      </c>
      <c r="F183" s="8" t="s">
        <v>13</v>
      </c>
      <c r="G183" s="18">
        <v>156.62</v>
      </c>
      <c r="H183" s="19" t="s">
        <v>15</v>
      </c>
      <c r="I183" s="11"/>
    </row>
    <row r="184" spans="3:9" ht="22.5" x14ac:dyDescent="0.25">
      <c r="C184" s="57" t="s">
        <v>42</v>
      </c>
      <c r="D184" s="17" t="s">
        <v>279</v>
      </c>
      <c r="E184" s="88" t="s">
        <v>166</v>
      </c>
      <c r="F184" s="8" t="s">
        <v>13</v>
      </c>
      <c r="G184" s="18">
        <v>158.56</v>
      </c>
      <c r="H184" s="19" t="s">
        <v>15</v>
      </c>
      <c r="I184" s="11"/>
    </row>
    <row r="185" spans="3:9" ht="22.5" x14ac:dyDescent="0.25">
      <c r="C185" s="57" t="s">
        <v>42</v>
      </c>
      <c r="D185" s="17" t="s">
        <v>280</v>
      </c>
      <c r="E185" s="88" t="s">
        <v>168</v>
      </c>
      <c r="F185" s="8" t="s">
        <v>13</v>
      </c>
      <c r="G185" s="18">
        <v>177.7</v>
      </c>
      <c r="H185" s="19" t="s">
        <v>15</v>
      </c>
      <c r="I185" s="11"/>
    </row>
    <row r="186" spans="3:9" ht="22.5" x14ac:dyDescent="0.25">
      <c r="C186" s="57" t="s">
        <v>42</v>
      </c>
      <c r="D186" s="17" t="s">
        <v>281</v>
      </c>
      <c r="E186" s="88" t="s">
        <v>170</v>
      </c>
      <c r="F186" s="8" t="s">
        <v>13</v>
      </c>
      <c r="G186" s="18">
        <v>177.43</v>
      </c>
      <c r="H186" s="19" t="s">
        <v>15</v>
      </c>
      <c r="I186" s="11"/>
    </row>
    <row r="187" spans="3:9" ht="22.5" x14ac:dyDescent="0.25">
      <c r="C187" s="57" t="s">
        <v>42</v>
      </c>
      <c r="D187" s="17" t="s">
        <v>282</v>
      </c>
      <c r="E187" s="88" t="s">
        <v>172</v>
      </c>
      <c r="F187" s="8" t="s">
        <v>13</v>
      </c>
      <c r="G187" s="18">
        <v>170.78</v>
      </c>
      <c r="H187" s="19" t="s">
        <v>15</v>
      </c>
      <c r="I187" s="11"/>
    </row>
    <row r="188" spans="3:9" ht="22.5" x14ac:dyDescent="0.25">
      <c r="C188" s="57" t="s">
        <v>42</v>
      </c>
      <c r="D188" s="17" t="s">
        <v>283</v>
      </c>
      <c r="E188" s="88" t="s">
        <v>174</v>
      </c>
      <c r="F188" s="8" t="s">
        <v>13</v>
      </c>
      <c r="G188" s="18">
        <v>155.30000000000001</v>
      </c>
      <c r="H188" s="19" t="s">
        <v>15</v>
      </c>
      <c r="I188" s="11"/>
    </row>
    <row r="189" spans="3:9" ht="22.5" x14ac:dyDescent="0.25">
      <c r="C189" s="58"/>
      <c r="D189" s="59"/>
      <c r="E189" s="89" t="s">
        <v>175</v>
      </c>
      <c r="F189" s="61"/>
      <c r="G189" s="62"/>
      <c r="H189" s="90" t="s">
        <v>284</v>
      </c>
      <c r="I189" s="11"/>
    </row>
    <row r="190" spans="3:9" ht="33.75" x14ac:dyDescent="0.25">
      <c r="C190" s="16"/>
      <c r="D190" s="17" t="s">
        <v>285</v>
      </c>
      <c r="E190" s="40" t="s">
        <v>286</v>
      </c>
      <c r="F190" s="8" t="s">
        <v>287</v>
      </c>
      <c r="G190" s="42">
        <f>7879.79/229520</f>
        <v>3.433160508888114E-2</v>
      </c>
      <c r="H190" s="19" t="s">
        <v>288</v>
      </c>
      <c r="I190" s="11"/>
    </row>
    <row r="191" spans="3:9" ht="33.75" x14ac:dyDescent="0.25">
      <c r="C191" s="16"/>
      <c r="D191" s="17" t="s">
        <v>289</v>
      </c>
      <c r="E191" s="40" t="s">
        <v>290</v>
      </c>
      <c r="F191" s="8" t="s">
        <v>291</v>
      </c>
      <c r="G191" s="42">
        <f>93134/229520</f>
        <v>0.40577727431160682</v>
      </c>
      <c r="H191" s="19" t="s">
        <v>288</v>
      </c>
      <c r="I191" s="11"/>
    </row>
    <row r="192" spans="3:9" ht="67.5" x14ac:dyDescent="0.25">
      <c r="C192" s="16"/>
      <c r="D192" s="17" t="s">
        <v>292</v>
      </c>
      <c r="E192" s="40" t="s">
        <v>293</v>
      </c>
      <c r="F192" s="8" t="s">
        <v>128</v>
      </c>
      <c r="G192" s="93"/>
      <c r="H192" s="19" t="s">
        <v>294</v>
      </c>
      <c r="I192" s="11"/>
    </row>
    <row r="193" spans="1:29" ht="22.5" x14ac:dyDescent="0.25">
      <c r="C193" s="16"/>
      <c r="D193" s="17" t="s">
        <v>295</v>
      </c>
      <c r="E193" s="44" t="s">
        <v>296</v>
      </c>
      <c r="F193" s="8" t="s">
        <v>128</v>
      </c>
      <c r="G193" s="93"/>
      <c r="H193" s="19" t="s">
        <v>294</v>
      </c>
      <c r="I193" s="11"/>
    </row>
    <row r="194" spans="1:29" ht="22.5" x14ac:dyDescent="0.25">
      <c r="C194" s="16"/>
      <c r="D194" s="17" t="s">
        <v>297</v>
      </c>
      <c r="E194" s="44" t="s">
        <v>298</v>
      </c>
      <c r="F194" s="8" t="s">
        <v>128</v>
      </c>
      <c r="G194" s="93"/>
      <c r="H194" s="19" t="s">
        <v>294</v>
      </c>
      <c r="I194" s="11"/>
    </row>
    <row r="195" spans="1:29" s="53" customFormat="1" ht="5.25" hidden="1" x14ac:dyDescent="0.25">
      <c r="A195" s="70"/>
      <c r="B195" s="4"/>
      <c r="C195" s="45"/>
      <c r="D195" s="94"/>
      <c r="E195" s="95"/>
      <c r="F195" s="96"/>
      <c r="G195" s="97"/>
      <c r="H195" s="9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51"/>
      <c r="T195" s="4"/>
      <c r="U195" s="4"/>
      <c r="V195" s="4"/>
      <c r="W195" s="4"/>
      <c r="X195" s="4"/>
      <c r="Y195" s="52"/>
      <c r="Z195" s="52"/>
      <c r="AA195" s="52"/>
      <c r="AB195" s="52"/>
      <c r="AC195" s="52"/>
    </row>
    <row r="196" spans="1:29" ht="10.5" customHeight="1" x14ac:dyDescent="0.25">
      <c r="C196" s="16"/>
    </row>
    <row r="197" spans="1:29" ht="12.75" x14ac:dyDescent="0.25">
      <c r="C197" s="16"/>
      <c r="D197" s="98">
        <v>1</v>
      </c>
      <c r="E197" s="118" t="s">
        <v>299</v>
      </c>
      <c r="F197" s="118"/>
      <c r="G197" s="118"/>
      <c r="H197" s="99"/>
    </row>
    <row r="198" spans="1:29" s="53" customFormat="1" ht="11.25" x14ac:dyDescent="0.25">
      <c r="A198" s="70"/>
      <c r="B198" s="4"/>
      <c r="C198" s="100"/>
      <c r="E198" s="101" t="s">
        <v>300</v>
      </c>
      <c r="F198" s="15"/>
      <c r="G198" s="15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70"/>
      <c r="B199" s="4"/>
      <c r="C199" s="100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70"/>
      <c r="B200" s="4"/>
      <c r="C200" s="100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70"/>
      <c r="B201" s="4"/>
      <c r="C201" s="100"/>
      <c r="G201" s="52" t="str">
        <f>IF(G29-G30 &lt;&gt;G77,"WARNING","")</f>
        <v/>
      </c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70"/>
      <c r="B202" s="4"/>
      <c r="C202" s="100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70"/>
      <c r="B203" s="4"/>
      <c r="C203" s="100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70"/>
      <c r="B204" s="4"/>
      <c r="C204" s="100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70"/>
      <c r="B205" s="4"/>
      <c r="C205" s="100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70"/>
      <c r="B206" s="4"/>
      <c r="C206" s="100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70"/>
      <c r="B207" s="4"/>
      <c r="C207" s="100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70"/>
      <c r="B208" s="4"/>
      <c r="C208" s="100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70"/>
      <c r="B209" s="4"/>
      <c r="C209" s="100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70"/>
      <c r="B210" s="4"/>
      <c r="C210" s="100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100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100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100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100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100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100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100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100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100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100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100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100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100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100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100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100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100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100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100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100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100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100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100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100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100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100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100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100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100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100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100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100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100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100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100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100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100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100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100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100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100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100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100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100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100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100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100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100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100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100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100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70"/>
      <c r="B262" s="4"/>
      <c r="C262" s="100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70"/>
      <c r="B263" s="4"/>
      <c r="C263" s="100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70"/>
      <c r="B264" s="4"/>
      <c r="C264" s="100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70"/>
      <c r="B265" s="4"/>
      <c r="C265" s="100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70"/>
      <c r="B266" s="4"/>
      <c r="C266" s="100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70"/>
      <c r="B267" s="4"/>
      <c r="C267" s="100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68" spans="1:29" s="53" customFormat="1" ht="10.5" customHeight="1" x14ac:dyDescent="0.25">
      <c r="A268" s="70"/>
      <c r="B268" s="4"/>
      <c r="C268" s="100"/>
      <c r="I268" s="2"/>
      <c r="J268" s="2"/>
      <c r="K268" s="4"/>
      <c r="L268" s="2"/>
      <c r="M268" s="2"/>
      <c r="N268" s="2"/>
      <c r="O268" s="2"/>
      <c r="P268" s="4"/>
      <c r="Q268" s="2"/>
      <c r="R268" s="2"/>
      <c r="S268" s="12"/>
      <c r="T268" s="2"/>
      <c r="U268" s="2"/>
      <c r="V268" s="2"/>
      <c r="W268" s="2"/>
      <c r="X268" s="2"/>
      <c r="Y268" s="13"/>
      <c r="Z268" s="52"/>
      <c r="AA268" s="52"/>
      <c r="AB268" s="52"/>
      <c r="AC268" s="52"/>
    </row>
    <row r="269" spans="1:29" s="53" customFormat="1" ht="10.5" customHeight="1" x14ac:dyDescent="0.25">
      <c r="A269" s="70"/>
      <c r="B269" s="4"/>
      <c r="C269" s="100"/>
      <c r="I269" s="2"/>
      <c r="J269" s="2"/>
      <c r="K269" s="4"/>
      <c r="L269" s="2"/>
      <c r="M269" s="2"/>
      <c r="N269" s="2"/>
      <c r="O269" s="2"/>
      <c r="P269" s="4"/>
      <c r="Q269" s="2"/>
      <c r="R269" s="2"/>
      <c r="S269" s="12"/>
      <c r="T269" s="2"/>
      <c r="U269" s="2"/>
      <c r="V269" s="2"/>
      <c r="W269" s="2"/>
      <c r="X269" s="2"/>
      <c r="Y269" s="13"/>
      <c r="Z269" s="52"/>
      <c r="AA269" s="52"/>
      <c r="AB269" s="52"/>
      <c r="AC269" s="52"/>
    </row>
    <row r="270" spans="1:29" s="53" customFormat="1" ht="10.5" customHeight="1" x14ac:dyDescent="0.25">
      <c r="A270" s="70"/>
      <c r="B270" s="4"/>
      <c r="C270" s="100"/>
      <c r="I270" s="2"/>
      <c r="J270" s="2"/>
      <c r="K270" s="4"/>
      <c r="L270" s="2"/>
      <c r="M270" s="2"/>
      <c r="N270" s="2"/>
      <c r="O270" s="2"/>
      <c r="P270" s="4"/>
      <c r="Q270" s="2"/>
      <c r="R270" s="2"/>
      <c r="S270" s="12"/>
      <c r="T270" s="2"/>
      <c r="U270" s="2"/>
      <c r="V270" s="2"/>
      <c r="W270" s="2"/>
      <c r="X270" s="2"/>
      <c r="Y270" s="13"/>
      <c r="Z270" s="52"/>
      <c r="AA270" s="52"/>
      <c r="AB270" s="52"/>
      <c r="AC270" s="52"/>
    </row>
    <row r="271" spans="1:29" s="53" customFormat="1" ht="10.5" customHeight="1" x14ac:dyDescent="0.25">
      <c r="A271" s="70"/>
      <c r="B271" s="4"/>
      <c r="C271" s="100"/>
      <c r="I271" s="2"/>
      <c r="J271" s="2"/>
      <c r="K271" s="4"/>
      <c r="L271" s="2"/>
      <c r="M271" s="2"/>
      <c r="N271" s="2"/>
      <c r="O271" s="2"/>
      <c r="P271" s="4"/>
      <c r="Q271" s="2"/>
      <c r="R271" s="2"/>
      <c r="S271" s="12"/>
      <c r="T271" s="2"/>
      <c r="U271" s="2"/>
      <c r="V271" s="2"/>
      <c r="W271" s="2"/>
      <c r="X271" s="2"/>
      <c r="Y271" s="13"/>
      <c r="Z271" s="52"/>
      <c r="AA271" s="52"/>
      <c r="AB271" s="52"/>
      <c r="AC271" s="52"/>
    </row>
    <row r="272" spans="1:29" s="53" customFormat="1" ht="10.5" customHeight="1" x14ac:dyDescent="0.25">
      <c r="A272" s="70"/>
      <c r="B272" s="4"/>
      <c r="C272" s="100"/>
      <c r="I272" s="2"/>
      <c r="J272" s="2"/>
      <c r="K272" s="4"/>
      <c r="L272" s="2"/>
      <c r="M272" s="2"/>
      <c r="N272" s="2"/>
      <c r="O272" s="2"/>
      <c r="P272" s="4"/>
      <c r="Q272" s="2"/>
      <c r="R272" s="2"/>
      <c r="S272" s="12"/>
      <c r="T272" s="2"/>
      <c r="U272" s="2"/>
      <c r="V272" s="2"/>
      <c r="W272" s="2"/>
      <c r="X272" s="2"/>
      <c r="Y272" s="13"/>
      <c r="Z272" s="52"/>
      <c r="AA272" s="52"/>
      <c r="AB272" s="52"/>
      <c r="AC272" s="52"/>
    </row>
    <row r="273" spans="1:29" s="53" customFormat="1" ht="10.5" customHeight="1" x14ac:dyDescent="0.25">
      <c r="A273" s="70"/>
      <c r="B273" s="4"/>
      <c r="C273" s="100"/>
      <c r="I273" s="2"/>
      <c r="J273" s="2"/>
      <c r="K273" s="4"/>
      <c r="L273" s="2"/>
      <c r="M273" s="2"/>
      <c r="N273" s="2"/>
      <c r="O273" s="2"/>
      <c r="P273" s="4"/>
      <c r="Q273" s="2"/>
      <c r="R273" s="2"/>
      <c r="S273" s="12"/>
      <c r="T273" s="2"/>
      <c r="U273" s="2"/>
      <c r="V273" s="2"/>
      <c r="W273" s="2"/>
      <c r="X273" s="2"/>
      <c r="Y273" s="13"/>
      <c r="Z273" s="52"/>
      <c r="AA273" s="52"/>
      <c r="AB273" s="52"/>
      <c r="AC273" s="52"/>
    </row>
    <row r="274" spans="1:29" s="53" customFormat="1" ht="10.5" customHeight="1" x14ac:dyDescent="0.25">
      <c r="A274" s="70"/>
      <c r="B274" s="4"/>
      <c r="C274" s="100"/>
      <c r="I274" s="2"/>
      <c r="J274" s="2"/>
      <c r="K274" s="4"/>
      <c r="L274" s="2"/>
      <c r="M274" s="2"/>
      <c r="N274" s="2"/>
      <c r="O274" s="2"/>
      <c r="P274" s="4"/>
      <c r="Q274" s="2"/>
      <c r="R274" s="2"/>
      <c r="S274" s="12"/>
      <c r="T274" s="2"/>
      <c r="U274" s="2"/>
      <c r="V274" s="2"/>
      <c r="W274" s="2"/>
      <c r="X274" s="2"/>
      <c r="Y274" s="13"/>
      <c r="Z274" s="52"/>
      <c r="AA274" s="52"/>
      <c r="AB274" s="52"/>
      <c r="AC274" s="52"/>
    </row>
    <row r="275" spans="1:29" s="53" customFormat="1" ht="10.5" customHeight="1" x14ac:dyDescent="0.25">
      <c r="A275" s="70"/>
      <c r="B275" s="4"/>
      <c r="C275" s="100"/>
      <c r="I275" s="2"/>
      <c r="J275" s="2"/>
      <c r="K275" s="4"/>
      <c r="L275" s="2"/>
      <c r="M275" s="2"/>
      <c r="N275" s="2"/>
      <c r="O275" s="2"/>
      <c r="P275" s="4"/>
      <c r="Q275" s="2"/>
      <c r="R275" s="2"/>
      <c r="S275" s="12"/>
      <c r="T275" s="2"/>
      <c r="U275" s="2"/>
      <c r="V275" s="2"/>
      <c r="W275" s="2"/>
      <c r="X275" s="2"/>
      <c r="Y275" s="13"/>
      <c r="Z275" s="52"/>
      <c r="AA275" s="52"/>
      <c r="AB275" s="52"/>
      <c r="AC275" s="52"/>
    </row>
    <row r="276" spans="1:29" s="53" customFormat="1" ht="10.5" customHeight="1" x14ac:dyDescent="0.25">
      <c r="A276" s="70"/>
      <c r="B276" s="4"/>
      <c r="C276" s="100"/>
      <c r="I276" s="2"/>
      <c r="J276" s="2"/>
      <c r="K276" s="4"/>
      <c r="L276" s="2"/>
      <c r="M276" s="2"/>
      <c r="N276" s="2"/>
      <c r="O276" s="2"/>
      <c r="P276" s="4"/>
      <c r="Q276" s="2"/>
      <c r="R276" s="2"/>
      <c r="S276" s="12"/>
      <c r="T276" s="2"/>
      <c r="U276" s="2"/>
      <c r="V276" s="2"/>
      <c r="W276" s="2"/>
      <c r="X276" s="2"/>
      <c r="Y276" s="13"/>
      <c r="Z276" s="52"/>
      <c r="AA276" s="52"/>
      <c r="AB276" s="52"/>
      <c r="AC276" s="52"/>
    </row>
    <row r="277" spans="1:29" s="53" customFormat="1" ht="10.5" customHeight="1" x14ac:dyDescent="0.25">
      <c r="A277" s="70"/>
      <c r="B277" s="4"/>
      <c r="C277" s="100"/>
      <c r="I277" s="2"/>
      <c r="J277" s="2"/>
      <c r="K277" s="4"/>
      <c r="L277" s="2"/>
      <c r="M277" s="2"/>
      <c r="N277" s="2"/>
      <c r="O277" s="2"/>
      <c r="P277" s="4"/>
      <c r="Q277" s="2"/>
      <c r="R277" s="2"/>
      <c r="S277" s="12"/>
      <c r="T277" s="2"/>
      <c r="U277" s="2"/>
      <c r="V277" s="2"/>
      <c r="W277" s="2"/>
      <c r="X277" s="2"/>
      <c r="Y277" s="13"/>
      <c r="Z277" s="52"/>
      <c r="AA277" s="52"/>
      <c r="AB277" s="52"/>
      <c r="AC277" s="52"/>
    </row>
    <row r="278" spans="1:29" s="53" customFormat="1" ht="10.5" customHeight="1" x14ac:dyDescent="0.25">
      <c r="A278" s="70"/>
      <c r="B278" s="4"/>
      <c r="C278" s="100"/>
      <c r="I278" s="2"/>
      <c r="J278" s="2"/>
      <c r="K278" s="4"/>
      <c r="L278" s="2"/>
      <c r="M278" s="2"/>
      <c r="N278" s="2"/>
      <c r="O278" s="2"/>
      <c r="P278" s="4"/>
      <c r="Q278" s="2"/>
      <c r="R278" s="2"/>
      <c r="S278" s="12"/>
      <c r="T278" s="2"/>
      <c r="U278" s="2"/>
      <c r="V278" s="2"/>
      <c r="W278" s="2"/>
      <c r="X278" s="2"/>
      <c r="Y278" s="13"/>
      <c r="Z278" s="52"/>
      <c r="AA278" s="52"/>
      <c r="AB278" s="52"/>
      <c r="AC278" s="52"/>
    </row>
    <row r="279" spans="1:29" s="53" customFormat="1" ht="10.5" customHeight="1" x14ac:dyDescent="0.25">
      <c r="A279" s="70"/>
      <c r="B279" s="4"/>
      <c r="C279" s="100"/>
      <c r="I279" s="2"/>
      <c r="J279" s="2"/>
      <c r="K279" s="4"/>
      <c r="L279" s="2"/>
      <c r="M279" s="2"/>
      <c r="N279" s="2"/>
      <c r="O279" s="2"/>
      <c r="P279" s="4"/>
      <c r="Q279" s="2"/>
      <c r="R279" s="2"/>
      <c r="S279" s="12"/>
      <c r="T279" s="2"/>
      <c r="U279" s="2"/>
      <c r="V279" s="2"/>
      <c r="W279" s="2"/>
      <c r="X279" s="2"/>
      <c r="Y279" s="13"/>
      <c r="Z279" s="52"/>
      <c r="AA279" s="52"/>
      <c r="AB279" s="52"/>
      <c r="AC279" s="52"/>
    </row>
    <row r="280" spans="1:29" s="53" customFormat="1" ht="10.5" customHeight="1" x14ac:dyDescent="0.25">
      <c r="A280" s="70"/>
      <c r="B280" s="4"/>
      <c r="C280" s="100"/>
      <c r="I280" s="2"/>
      <c r="J280" s="2"/>
      <c r="K280" s="4"/>
      <c r="L280" s="2"/>
      <c r="M280" s="2"/>
      <c r="N280" s="2"/>
      <c r="O280" s="2"/>
      <c r="P280" s="4"/>
      <c r="Q280" s="2"/>
      <c r="R280" s="2"/>
      <c r="S280" s="12"/>
      <c r="T280" s="2"/>
      <c r="U280" s="2"/>
      <c r="V280" s="2"/>
      <c r="W280" s="2"/>
      <c r="X280" s="2"/>
      <c r="Y280" s="13"/>
      <c r="Z280" s="52"/>
      <c r="AA280" s="52"/>
      <c r="AB280" s="52"/>
      <c r="AC280" s="52"/>
    </row>
    <row r="281" spans="1:29" s="53" customFormat="1" ht="10.5" customHeight="1" x14ac:dyDescent="0.25">
      <c r="A281" s="70"/>
      <c r="B281" s="4"/>
      <c r="C281" s="100"/>
      <c r="I281" s="2"/>
      <c r="J281" s="2"/>
      <c r="K281" s="4"/>
      <c r="L281" s="2"/>
      <c r="M281" s="2"/>
      <c r="N281" s="2"/>
      <c r="O281" s="2"/>
      <c r="P281" s="4"/>
      <c r="Q281" s="2"/>
      <c r="R281" s="2"/>
      <c r="S281" s="12"/>
      <c r="T281" s="2"/>
      <c r="U281" s="2"/>
      <c r="V281" s="2"/>
      <c r="W281" s="2"/>
      <c r="X281" s="2"/>
      <c r="Y281" s="13"/>
      <c r="Z281" s="52"/>
      <c r="AA281" s="52"/>
      <c r="AB281" s="52"/>
      <c r="AC281" s="52"/>
    </row>
    <row r="282" spans="1:29" s="53" customFormat="1" ht="10.5" customHeight="1" x14ac:dyDescent="0.25">
      <c r="A282" s="70"/>
      <c r="B282" s="4"/>
      <c r="C282" s="100"/>
      <c r="I282" s="2"/>
      <c r="J282" s="2"/>
      <c r="K282" s="4"/>
      <c r="L282" s="2"/>
      <c r="M282" s="2"/>
      <c r="N282" s="2"/>
      <c r="O282" s="2"/>
      <c r="P282" s="4"/>
      <c r="Q282" s="2"/>
      <c r="R282" s="2"/>
      <c r="S282" s="12"/>
      <c r="T282" s="2"/>
      <c r="U282" s="2"/>
      <c r="V282" s="2"/>
      <c r="W282" s="2"/>
      <c r="X282" s="2"/>
      <c r="Y282" s="13"/>
      <c r="Z282" s="52"/>
      <c r="AA282" s="52"/>
      <c r="AB282" s="52"/>
      <c r="AC282" s="52"/>
    </row>
    <row r="283" spans="1:29" s="53" customFormat="1" ht="10.5" customHeight="1" x14ac:dyDescent="0.25">
      <c r="A283" s="70"/>
      <c r="B283" s="4"/>
      <c r="C283" s="100"/>
      <c r="I283" s="2"/>
      <c r="J283" s="2"/>
      <c r="K283" s="4"/>
      <c r="L283" s="2"/>
      <c r="M283" s="2"/>
      <c r="N283" s="2"/>
      <c r="O283" s="2"/>
      <c r="P283" s="4"/>
      <c r="Q283" s="2"/>
      <c r="R283" s="2"/>
      <c r="S283" s="12"/>
      <c r="T283" s="2"/>
      <c r="U283" s="2"/>
      <c r="V283" s="2"/>
      <c r="W283" s="2"/>
      <c r="X283" s="2"/>
      <c r="Y283" s="13"/>
      <c r="Z283" s="52"/>
      <c r="AA283" s="52"/>
      <c r="AB283" s="52"/>
      <c r="AC283" s="52"/>
    </row>
    <row r="284" spans="1:29" s="53" customFormat="1" ht="10.5" customHeight="1" x14ac:dyDescent="0.25">
      <c r="A284" s="70"/>
      <c r="B284" s="4"/>
      <c r="C284" s="100"/>
      <c r="I284" s="2"/>
      <c r="J284" s="2"/>
      <c r="K284" s="4"/>
      <c r="L284" s="2"/>
      <c r="M284" s="2"/>
      <c r="N284" s="2"/>
      <c r="O284" s="2"/>
      <c r="P284" s="4"/>
      <c r="Q284" s="2"/>
      <c r="R284" s="2"/>
      <c r="S284" s="12"/>
      <c r="T284" s="2"/>
      <c r="U284" s="2"/>
      <c r="V284" s="2"/>
      <c r="W284" s="2"/>
      <c r="X284" s="2"/>
      <c r="Y284" s="13"/>
      <c r="Z284" s="52"/>
      <c r="AA284" s="52"/>
      <c r="AB284" s="52"/>
      <c r="AC284" s="52"/>
    </row>
    <row r="285" spans="1:29" s="53" customFormat="1" ht="10.5" customHeight="1" x14ac:dyDescent="0.25">
      <c r="A285" s="70"/>
      <c r="B285" s="4"/>
      <c r="C285" s="100"/>
      <c r="I285" s="2"/>
      <c r="J285" s="2"/>
      <c r="K285" s="4"/>
      <c r="L285" s="2"/>
      <c r="M285" s="2"/>
      <c r="N285" s="2"/>
      <c r="O285" s="2"/>
      <c r="P285" s="4"/>
      <c r="Q285" s="2"/>
      <c r="R285" s="2"/>
      <c r="S285" s="12"/>
      <c r="T285" s="2"/>
      <c r="U285" s="2"/>
      <c r="V285" s="2"/>
      <c r="W285" s="2"/>
      <c r="X285" s="2"/>
      <c r="Y285" s="13"/>
      <c r="Z285" s="52"/>
      <c r="AA285" s="52"/>
      <c r="AB285" s="52"/>
      <c r="AC285" s="52"/>
    </row>
    <row r="286" spans="1:29" s="53" customFormat="1" ht="10.5" customHeight="1" x14ac:dyDescent="0.25">
      <c r="A286" s="70"/>
      <c r="B286" s="4"/>
      <c r="C286" s="100"/>
      <c r="I286" s="2"/>
      <c r="J286" s="2"/>
      <c r="K286" s="4"/>
      <c r="L286" s="2"/>
      <c r="M286" s="2"/>
      <c r="N286" s="2"/>
      <c r="O286" s="2"/>
      <c r="P286" s="4"/>
      <c r="Q286" s="2"/>
      <c r="R286" s="2"/>
      <c r="S286" s="12"/>
      <c r="T286" s="2"/>
      <c r="U286" s="2"/>
      <c r="V286" s="2"/>
      <c r="W286" s="2"/>
      <c r="X286" s="2"/>
      <c r="Y286" s="13"/>
      <c r="Z286" s="52"/>
      <c r="AA286" s="52"/>
      <c r="AB286" s="52"/>
      <c r="AC286" s="52"/>
    </row>
    <row r="287" spans="1:29" s="53" customFormat="1" ht="10.5" customHeight="1" x14ac:dyDescent="0.25">
      <c r="A287" s="70"/>
      <c r="B287" s="4"/>
      <c r="C287" s="100"/>
      <c r="I287" s="2"/>
      <c r="J287" s="2"/>
      <c r="K287" s="4"/>
      <c r="L287" s="2"/>
      <c r="M287" s="2"/>
      <c r="N287" s="2"/>
      <c r="O287" s="2"/>
      <c r="P287" s="4"/>
      <c r="Q287" s="2"/>
      <c r="R287" s="2"/>
      <c r="S287" s="12"/>
      <c r="T287" s="2"/>
      <c r="U287" s="2"/>
      <c r="V287" s="2"/>
      <c r="W287" s="2"/>
      <c r="X287" s="2"/>
      <c r="Y287" s="13"/>
      <c r="Z287" s="52"/>
      <c r="AA287" s="52"/>
      <c r="AB287" s="52"/>
      <c r="AC287" s="52"/>
    </row>
    <row r="288" spans="1:29" s="53" customFormat="1" ht="10.5" customHeight="1" x14ac:dyDescent="0.25">
      <c r="A288" s="70"/>
      <c r="B288" s="4"/>
      <c r="C288" s="100"/>
      <c r="I288" s="2"/>
      <c r="J288" s="2"/>
      <c r="K288" s="4"/>
      <c r="L288" s="2"/>
      <c r="M288" s="2"/>
      <c r="N288" s="2"/>
      <c r="O288" s="2"/>
      <c r="P288" s="4"/>
      <c r="Q288" s="2"/>
      <c r="R288" s="2"/>
      <c r="S288" s="12"/>
      <c r="T288" s="2"/>
      <c r="U288" s="2"/>
      <c r="V288" s="2"/>
      <c r="W288" s="2"/>
      <c r="X288" s="2"/>
      <c r="Y288" s="13"/>
      <c r="Z288" s="52"/>
      <c r="AA288" s="52"/>
      <c r="AB288" s="52"/>
      <c r="AC288" s="52"/>
    </row>
    <row r="289" spans="1:29" s="53" customFormat="1" ht="10.5" customHeight="1" x14ac:dyDescent="0.25">
      <c r="A289" s="70"/>
      <c r="B289" s="4"/>
      <c r="C289" s="100"/>
      <c r="I289" s="2"/>
      <c r="J289" s="2"/>
      <c r="K289" s="4"/>
      <c r="L289" s="2"/>
      <c r="M289" s="2"/>
      <c r="N289" s="2"/>
      <c r="O289" s="2"/>
      <c r="P289" s="4"/>
      <c r="Q289" s="2"/>
      <c r="R289" s="2"/>
      <c r="S289" s="12"/>
      <c r="T289" s="2"/>
      <c r="U289" s="2"/>
      <c r="V289" s="2"/>
      <c r="W289" s="2"/>
      <c r="X289" s="2"/>
      <c r="Y289" s="13"/>
      <c r="Z289" s="52"/>
      <c r="AA289" s="52"/>
      <c r="AB289" s="52"/>
      <c r="AC289" s="52"/>
    </row>
    <row r="290" spans="1:29" s="53" customFormat="1" ht="10.5" customHeight="1" x14ac:dyDescent="0.25">
      <c r="A290" s="70"/>
      <c r="B290" s="4"/>
      <c r="C290" s="100"/>
      <c r="I290" s="2"/>
      <c r="J290" s="2"/>
      <c r="K290" s="4"/>
      <c r="L290" s="2"/>
      <c r="M290" s="2"/>
      <c r="N290" s="2"/>
      <c r="O290" s="2"/>
      <c r="P290" s="4"/>
      <c r="Q290" s="2"/>
      <c r="R290" s="2"/>
      <c r="S290" s="12"/>
      <c r="T290" s="2"/>
      <c r="U290" s="2"/>
      <c r="V290" s="2"/>
      <c r="W290" s="2"/>
      <c r="X290" s="2"/>
      <c r="Y290" s="13"/>
      <c r="Z290" s="52"/>
      <c r="AA290" s="52"/>
      <c r="AB290" s="52"/>
      <c r="AC290" s="52"/>
    </row>
    <row r="291" spans="1:29" s="53" customFormat="1" ht="10.5" customHeight="1" x14ac:dyDescent="0.25">
      <c r="A291" s="70"/>
      <c r="B291" s="4"/>
      <c r="C291" s="100"/>
      <c r="I291" s="2"/>
      <c r="J291" s="2"/>
      <c r="K291" s="4"/>
      <c r="L291" s="2"/>
      <c r="M291" s="2"/>
      <c r="N291" s="2"/>
      <c r="O291" s="2"/>
      <c r="P291" s="4"/>
      <c r="Q291" s="2"/>
      <c r="R291" s="2"/>
      <c r="S291" s="12"/>
      <c r="T291" s="2"/>
      <c r="U291" s="2"/>
      <c r="V291" s="2"/>
      <c r="W291" s="2"/>
      <c r="X291" s="2"/>
      <c r="Y291" s="13"/>
      <c r="Z291" s="52"/>
      <c r="AA291" s="52"/>
      <c r="AB291" s="52"/>
      <c r="AC291" s="52"/>
    </row>
    <row r="292" spans="1:29" s="53" customFormat="1" ht="10.5" customHeight="1" x14ac:dyDescent="0.25">
      <c r="A292" s="70"/>
      <c r="B292" s="4"/>
      <c r="C292" s="100"/>
      <c r="I292" s="2"/>
      <c r="J292" s="2"/>
      <c r="K292" s="4"/>
      <c r="L292" s="2"/>
      <c r="M292" s="2"/>
      <c r="N292" s="2"/>
      <c r="O292" s="2"/>
      <c r="P292" s="4"/>
      <c r="Q292" s="2"/>
      <c r="R292" s="2"/>
      <c r="S292" s="12"/>
      <c r="T292" s="2"/>
      <c r="U292" s="2"/>
      <c r="V292" s="2"/>
      <c r="W292" s="2"/>
      <c r="X292" s="2"/>
      <c r="Y292" s="13"/>
      <c r="Z292" s="52"/>
      <c r="AA292" s="52"/>
      <c r="AB292" s="52"/>
      <c r="AC292" s="52"/>
    </row>
    <row r="293" spans="1:29" s="53" customFormat="1" ht="10.5" customHeight="1" x14ac:dyDescent="0.25">
      <c r="A293" s="70"/>
      <c r="B293" s="4"/>
      <c r="C293" s="100"/>
      <c r="I293" s="2"/>
      <c r="J293" s="2"/>
      <c r="K293" s="4"/>
      <c r="L293" s="2"/>
      <c r="M293" s="2"/>
      <c r="N293" s="2"/>
      <c r="O293" s="2"/>
      <c r="P293" s="4"/>
      <c r="Q293" s="2"/>
      <c r="R293" s="2"/>
      <c r="S293" s="12"/>
      <c r="T293" s="2"/>
      <c r="U293" s="2"/>
      <c r="V293" s="2"/>
      <c r="W293" s="2"/>
      <c r="X293" s="2"/>
      <c r="Y293" s="13"/>
      <c r="Z293" s="52"/>
      <c r="AA293" s="52"/>
      <c r="AB293" s="52"/>
      <c r="AC293" s="52"/>
    </row>
    <row r="294" spans="1:29" s="53" customFormat="1" ht="10.5" customHeight="1" x14ac:dyDescent="0.25">
      <c r="A294" s="70"/>
      <c r="B294" s="4"/>
      <c r="C294" s="100"/>
      <c r="I294" s="2"/>
      <c r="J294" s="2"/>
      <c r="K294" s="4"/>
      <c r="L294" s="2"/>
      <c r="M294" s="2"/>
      <c r="N294" s="2"/>
      <c r="O294" s="2"/>
      <c r="P294" s="4"/>
      <c r="Q294" s="2"/>
      <c r="R294" s="2"/>
      <c r="S294" s="12"/>
      <c r="T294" s="2"/>
      <c r="U294" s="2"/>
      <c r="V294" s="2"/>
      <c r="W294" s="2"/>
      <c r="X294" s="2"/>
      <c r="Y294" s="13"/>
      <c r="Z294" s="52"/>
      <c r="AA294" s="52"/>
      <c r="AB294" s="52"/>
      <c r="AC294" s="52"/>
    </row>
    <row r="295" spans="1:29" s="53" customFormat="1" ht="10.5" customHeight="1" x14ac:dyDescent="0.25">
      <c r="A295" s="70"/>
      <c r="B295" s="4"/>
      <c r="C295" s="100"/>
      <c r="I295" s="2"/>
      <c r="J295" s="2"/>
      <c r="K295" s="4"/>
      <c r="L295" s="2"/>
      <c r="M295" s="2"/>
      <c r="N295" s="2"/>
      <c r="O295" s="2"/>
      <c r="P295" s="4"/>
      <c r="Q295" s="2"/>
      <c r="R295" s="2"/>
      <c r="S295" s="12"/>
      <c r="T295" s="2"/>
      <c r="U295" s="2"/>
      <c r="V295" s="2"/>
      <c r="W295" s="2"/>
      <c r="X295" s="2"/>
      <c r="Y295" s="13"/>
      <c r="Z295" s="52"/>
      <c r="AA295" s="52"/>
      <c r="AB295" s="52"/>
      <c r="AC295" s="52"/>
    </row>
    <row r="296" spans="1:29" s="53" customFormat="1" ht="10.5" customHeight="1" x14ac:dyDescent="0.25">
      <c r="A296" s="70"/>
      <c r="B296" s="4"/>
      <c r="C296" s="100"/>
      <c r="I296" s="2"/>
      <c r="J296" s="2"/>
      <c r="K296" s="4"/>
      <c r="L296" s="2"/>
      <c r="M296" s="2"/>
      <c r="N296" s="2"/>
      <c r="O296" s="2"/>
      <c r="P296" s="4"/>
      <c r="Q296" s="2"/>
      <c r="R296" s="2"/>
      <c r="S296" s="12"/>
      <c r="T296" s="2"/>
      <c r="U296" s="2"/>
      <c r="V296" s="2"/>
      <c r="W296" s="2"/>
      <c r="X296" s="2"/>
      <c r="Y296" s="13"/>
      <c r="Z296" s="52"/>
      <c r="AA296" s="52"/>
      <c r="AB296" s="52"/>
      <c r="AC296" s="52"/>
    </row>
    <row r="297" spans="1:29" s="53" customFormat="1" ht="10.5" customHeight="1" x14ac:dyDescent="0.25">
      <c r="A297" s="70"/>
      <c r="B297" s="4"/>
      <c r="C297" s="100"/>
      <c r="I297" s="2"/>
      <c r="J297" s="2"/>
      <c r="K297" s="4"/>
      <c r="L297" s="2"/>
      <c r="M297" s="2"/>
      <c r="N297" s="2"/>
      <c r="O297" s="2"/>
      <c r="P297" s="4"/>
      <c r="Q297" s="2"/>
      <c r="R297" s="2"/>
      <c r="S297" s="12"/>
      <c r="T297" s="2"/>
      <c r="U297" s="2"/>
      <c r="V297" s="2"/>
      <c r="W297" s="2"/>
      <c r="X297" s="2"/>
      <c r="Y297" s="13"/>
      <c r="Z297" s="52"/>
      <c r="AA297" s="52"/>
      <c r="AB297" s="52"/>
      <c r="AC297" s="52"/>
    </row>
    <row r="298" spans="1:29" s="53" customFormat="1" ht="10.5" customHeight="1" x14ac:dyDescent="0.25">
      <c r="A298" s="70"/>
      <c r="B298" s="4"/>
      <c r="C298" s="100"/>
      <c r="I298" s="2"/>
      <c r="J298" s="2"/>
      <c r="K298" s="4"/>
      <c r="L298" s="2"/>
      <c r="M298" s="2"/>
      <c r="N298" s="2"/>
      <c r="O298" s="2"/>
      <c r="P298" s="4"/>
      <c r="Q298" s="2"/>
      <c r="R298" s="2"/>
      <c r="S298" s="12"/>
      <c r="T298" s="2"/>
      <c r="U298" s="2"/>
      <c r="V298" s="2"/>
      <c r="W298" s="2"/>
      <c r="X298" s="2"/>
      <c r="Y298" s="13"/>
      <c r="Z298" s="52"/>
      <c r="AA298" s="52"/>
      <c r="AB298" s="52"/>
      <c r="AC298" s="52"/>
    </row>
    <row r="299" spans="1:29" s="53" customFormat="1" ht="10.5" customHeight="1" x14ac:dyDescent="0.25">
      <c r="A299" s="70"/>
      <c r="B299" s="4"/>
      <c r="C299" s="100"/>
      <c r="I299" s="2"/>
      <c r="J299" s="2"/>
      <c r="K299" s="4"/>
      <c r="L299" s="2"/>
      <c r="M299" s="2"/>
      <c r="N299" s="2"/>
      <c r="O299" s="2"/>
      <c r="P299" s="4"/>
      <c r="Q299" s="2"/>
      <c r="R299" s="2"/>
      <c r="S299" s="12"/>
      <c r="T299" s="2"/>
      <c r="U299" s="2"/>
      <c r="V299" s="2"/>
      <c r="W299" s="2"/>
      <c r="X299" s="2"/>
      <c r="Y299" s="13"/>
      <c r="Z299" s="52"/>
      <c r="AA299" s="52"/>
      <c r="AB299" s="52"/>
      <c r="AC299" s="52"/>
    </row>
    <row r="300" spans="1:29" s="53" customFormat="1" ht="10.5" customHeight="1" x14ac:dyDescent="0.25">
      <c r="A300" s="70"/>
      <c r="B300" s="4"/>
      <c r="C300" s="100"/>
      <c r="I300" s="2"/>
      <c r="J300" s="2"/>
      <c r="K300" s="4"/>
      <c r="L300" s="2"/>
      <c r="M300" s="2"/>
      <c r="N300" s="2"/>
      <c r="O300" s="2"/>
      <c r="P300" s="4"/>
      <c r="Q300" s="2"/>
      <c r="R300" s="2"/>
      <c r="S300" s="12"/>
      <c r="T300" s="2"/>
      <c r="U300" s="2"/>
      <c r="V300" s="2"/>
      <c r="W300" s="2"/>
      <c r="X300" s="2"/>
      <c r="Y300" s="13"/>
      <c r="Z300" s="52"/>
      <c r="AA300" s="52"/>
      <c r="AB300" s="52"/>
      <c r="AC300" s="52"/>
    </row>
    <row r="301" spans="1:29" s="53" customFormat="1" ht="10.5" customHeight="1" x14ac:dyDescent="0.25">
      <c r="A301" s="70"/>
      <c r="B301" s="4"/>
      <c r="C301" s="100"/>
      <c r="I301" s="2"/>
      <c r="J301" s="2"/>
      <c r="K301" s="4"/>
      <c r="L301" s="2"/>
      <c r="M301" s="2"/>
      <c r="N301" s="2"/>
      <c r="O301" s="2"/>
      <c r="P301" s="4"/>
      <c r="Q301" s="2"/>
      <c r="R301" s="2"/>
      <c r="S301" s="12"/>
      <c r="T301" s="2"/>
      <c r="U301" s="2"/>
      <c r="V301" s="2"/>
      <c r="W301" s="2"/>
      <c r="X301" s="2"/>
      <c r="Y301" s="13"/>
      <c r="Z301" s="52"/>
      <c r="AA301" s="52"/>
      <c r="AB301" s="52"/>
      <c r="AC301" s="52"/>
    </row>
    <row r="302" spans="1:29" s="53" customFormat="1" ht="10.5" customHeight="1" x14ac:dyDescent="0.25">
      <c r="A302" s="70"/>
      <c r="B302" s="4"/>
      <c r="C302" s="100"/>
      <c r="I302" s="2"/>
      <c r="J302" s="2"/>
      <c r="K302" s="4"/>
      <c r="L302" s="2"/>
      <c r="M302" s="2"/>
      <c r="N302" s="2"/>
      <c r="O302" s="2"/>
      <c r="P302" s="4"/>
      <c r="Q302" s="2"/>
      <c r="R302" s="2"/>
      <c r="S302" s="12"/>
      <c r="T302" s="2"/>
      <c r="U302" s="2"/>
      <c r="V302" s="2"/>
      <c r="W302" s="2"/>
      <c r="X302" s="2"/>
      <c r="Y302" s="13"/>
      <c r="Z302" s="52"/>
      <c r="AA302" s="52"/>
      <c r="AB302" s="52"/>
      <c r="AC302" s="52"/>
    </row>
    <row r="303" spans="1:29" s="53" customFormat="1" ht="10.5" customHeight="1" x14ac:dyDescent="0.25">
      <c r="A303" s="70"/>
      <c r="B303" s="4"/>
      <c r="C303" s="100"/>
      <c r="I303" s="2"/>
      <c r="J303" s="2"/>
      <c r="K303" s="4"/>
      <c r="L303" s="2"/>
      <c r="M303" s="2"/>
      <c r="N303" s="2"/>
      <c r="O303" s="2"/>
      <c r="P303" s="4"/>
      <c r="Q303" s="2"/>
      <c r="R303" s="2"/>
      <c r="S303" s="12"/>
      <c r="T303" s="2"/>
      <c r="U303" s="2"/>
      <c r="V303" s="2"/>
      <c r="W303" s="2"/>
      <c r="X303" s="2"/>
      <c r="Y303" s="13"/>
      <c r="Z303" s="52"/>
      <c r="AA303" s="52"/>
      <c r="AB303" s="52"/>
      <c r="AC303" s="52"/>
    </row>
    <row r="304" spans="1:29" s="53" customFormat="1" ht="10.5" customHeight="1" x14ac:dyDescent="0.25">
      <c r="A304" s="70"/>
      <c r="B304" s="4"/>
      <c r="C304" s="100"/>
      <c r="I304" s="2"/>
      <c r="J304" s="2"/>
      <c r="K304" s="4"/>
      <c r="L304" s="2"/>
      <c r="M304" s="2"/>
      <c r="N304" s="2"/>
      <c r="O304" s="2"/>
      <c r="P304" s="4"/>
      <c r="Q304" s="2"/>
      <c r="R304" s="2"/>
      <c r="S304" s="12"/>
      <c r="T304" s="2"/>
      <c r="U304" s="2"/>
      <c r="V304" s="2"/>
      <c r="W304" s="2"/>
      <c r="X304" s="2"/>
      <c r="Y304" s="13"/>
      <c r="Z304" s="52"/>
      <c r="AA304" s="52"/>
      <c r="AB304" s="52"/>
      <c r="AC304" s="52"/>
    </row>
    <row r="305" spans="1:29" s="53" customFormat="1" ht="10.5" customHeight="1" x14ac:dyDescent="0.25">
      <c r="A305" s="70"/>
      <c r="B305" s="4"/>
      <c r="C305" s="100"/>
      <c r="I305" s="2"/>
      <c r="J305" s="2"/>
      <c r="K305" s="4"/>
      <c r="L305" s="2"/>
      <c r="M305" s="2"/>
      <c r="N305" s="2"/>
      <c r="O305" s="2"/>
      <c r="P305" s="4"/>
      <c r="Q305" s="2"/>
      <c r="R305" s="2"/>
      <c r="S305" s="12"/>
      <c r="T305" s="2"/>
      <c r="U305" s="2"/>
      <c r="V305" s="2"/>
      <c r="W305" s="2"/>
      <c r="X305" s="2"/>
      <c r="Y305" s="13"/>
      <c r="Z305" s="52"/>
      <c r="AA305" s="52"/>
      <c r="AB305" s="52"/>
      <c r="AC305" s="52"/>
    </row>
    <row r="306" spans="1:29" s="53" customFormat="1" ht="10.5" customHeight="1" x14ac:dyDescent="0.25">
      <c r="A306" s="70"/>
      <c r="B306" s="4"/>
      <c r="C306" s="100"/>
      <c r="I306" s="2"/>
      <c r="J306" s="2"/>
      <c r="K306" s="4"/>
      <c r="L306" s="2"/>
      <c r="M306" s="2"/>
      <c r="N306" s="2"/>
      <c r="O306" s="2"/>
      <c r="P306" s="4"/>
      <c r="Q306" s="2"/>
      <c r="R306" s="2"/>
      <c r="S306" s="12"/>
      <c r="T306" s="2"/>
      <c r="U306" s="2"/>
      <c r="V306" s="2"/>
      <c r="W306" s="2"/>
      <c r="X306" s="2"/>
      <c r="Y306" s="13"/>
      <c r="Z306" s="52"/>
      <c r="AA306" s="52"/>
      <c r="AB306" s="52"/>
      <c r="AC306" s="52"/>
    </row>
    <row r="307" spans="1:29" s="53" customFormat="1" ht="10.5" customHeight="1" x14ac:dyDescent="0.25">
      <c r="A307" s="70"/>
      <c r="B307" s="4"/>
      <c r="C307" s="100"/>
      <c r="I307" s="2"/>
      <c r="J307" s="2"/>
      <c r="K307" s="4"/>
      <c r="L307" s="2"/>
      <c r="M307" s="2"/>
      <c r="N307" s="2"/>
      <c r="O307" s="2"/>
      <c r="P307" s="4"/>
      <c r="Q307" s="2"/>
      <c r="R307" s="2"/>
      <c r="S307" s="12"/>
      <c r="T307" s="2"/>
      <c r="U307" s="2"/>
      <c r="V307" s="2"/>
      <c r="W307" s="2"/>
      <c r="X307" s="2"/>
      <c r="Y307" s="13"/>
      <c r="Z307" s="52"/>
      <c r="AA307" s="52"/>
      <c r="AB307" s="52"/>
      <c r="AC307" s="52"/>
    </row>
    <row r="308" spans="1:29" s="53" customFormat="1" ht="10.5" customHeight="1" x14ac:dyDescent="0.25">
      <c r="A308" s="70"/>
      <c r="B308" s="4"/>
      <c r="C308" s="100"/>
      <c r="I308" s="2"/>
      <c r="J308" s="2"/>
      <c r="K308" s="4"/>
      <c r="L308" s="2"/>
      <c r="M308" s="2"/>
      <c r="N308" s="2"/>
      <c r="O308" s="2"/>
      <c r="P308" s="4"/>
      <c r="Q308" s="2"/>
      <c r="R308" s="2"/>
      <c r="S308" s="12"/>
      <c r="T308" s="2"/>
      <c r="U308" s="2"/>
      <c r="V308" s="2"/>
      <c r="W308" s="2"/>
      <c r="X308" s="2"/>
      <c r="Y308" s="13"/>
      <c r="Z308" s="52"/>
      <c r="AA308" s="52"/>
      <c r="AB308" s="52"/>
      <c r="AC308" s="52"/>
    </row>
    <row r="309" spans="1:29" s="53" customFormat="1" ht="10.5" customHeight="1" x14ac:dyDescent="0.25">
      <c r="A309" s="70"/>
      <c r="B309" s="4"/>
      <c r="C309" s="100"/>
      <c r="I309" s="2"/>
      <c r="J309" s="2"/>
      <c r="K309" s="4"/>
      <c r="L309" s="2"/>
      <c r="M309" s="2"/>
      <c r="N309" s="2"/>
      <c r="O309" s="2"/>
      <c r="P309" s="4"/>
      <c r="Q309" s="2"/>
      <c r="R309" s="2"/>
      <c r="S309" s="12"/>
      <c r="T309" s="2"/>
      <c r="U309" s="2"/>
      <c r="V309" s="2"/>
      <c r="W309" s="2"/>
      <c r="X309" s="2"/>
      <c r="Y309" s="13"/>
      <c r="Z309" s="52"/>
      <c r="AA309" s="52"/>
      <c r="AB309" s="52"/>
      <c r="AC309" s="52"/>
    </row>
    <row r="310" spans="1:29" s="53" customFormat="1" ht="10.5" customHeight="1" x14ac:dyDescent="0.25">
      <c r="A310" s="70"/>
      <c r="B310" s="4"/>
      <c r="C310" s="100"/>
      <c r="I310" s="2"/>
      <c r="J310" s="2"/>
      <c r="K310" s="4"/>
      <c r="L310" s="2"/>
      <c r="M310" s="2"/>
      <c r="N310" s="2"/>
      <c r="O310" s="2"/>
      <c r="P310" s="4"/>
      <c r="Q310" s="2"/>
      <c r="R310" s="2"/>
      <c r="S310" s="12"/>
      <c r="T310" s="2"/>
      <c r="U310" s="2"/>
      <c r="V310" s="2"/>
      <c r="W310" s="2"/>
      <c r="X310" s="2"/>
      <c r="Y310" s="13"/>
      <c r="Z310" s="52"/>
      <c r="AA310" s="52"/>
      <c r="AB310" s="52"/>
      <c r="AC310" s="52"/>
    </row>
    <row r="311" spans="1:29" s="53" customFormat="1" ht="10.5" customHeight="1" x14ac:dyDescent="0.25">
      <c r="A311" s="70"/>
      <c r="B311" s="4"/>
      <c r="C311" s="100"/>
      <c r="I311" s="2"/>
      <c r="J311" s="2"/>
      <c r="K311" s="4"/>
      <c r="L311" s="2"/>
      <c r="M311" s="2"/>
      <c r="N311" s="2"/>
      <c r="O311" s="2"/>
      <c r="P311" s="4"/>
      <c r="Q311" s="2"/>
      <c r="R311" s="2"/>
      <c r="S311" s="12"/>
      <c r="T311" s="2"/>
      <c r="U311" s="2"/>
      <c r="V311" s="2"/>
      <c r="W311" s="2"/>
      <c r="X311" s="2"/>
      <c r="Y311" s="13"/>
      <c r="Z311" s="52"/>
      <c r="AA311" s="52"/>
      <c r="AB311" s="52"/>
      <c r="AC311" s="52"/>
    </row>
    <row r="312" spans="1:29" s="53" customFormat="1" ht="10.5" customHeight="1" x14ac:dyDescent="0.25">
      <c r="A312" s="70"/>
      <c r="B312" s="4"/>
      <c r="C312" s="100"/>
      <c r="I312" s="2"/>
      <c r="J312" s="2"/>
      <c r="K312" s="4"/>
      <c r="L312" s="2"/>
      <c r="M312" s="2"/>
      <c r="N312" s="2"/>
      <c r="O312" s="2"/>
      <c r="P312" s="4"/>
      <c r="Q312" s="2"/>
      <c r="R312" s="2"/>
      <c r="S312" s="12"/>
      <c r="T312" s="2"/>
      <c r="U312" s="2"/>
      <c r="V312" s="2"/>
      <c r="W312" s="2"/>
      <c r="X312" s="2"/>
      <c r="Y312" s="13"/>
      <c r="Z312" s="52"/>
      <c r="AA312" s="52"/>
      <c r="AB312" s="52"/>
      <c r="AC312" s="52"/>
    </row>
    <row r="313" spans="1:29" s="53" customFormat="1" ht="10.5" customHeight="1" x14ac:dyDescent="0.25">
      <c r="A313" s="70"/>
      <c r="B313" s="4"/>
      <c r="C313" s="100"/>
      <c r="I313" s="2"/>
      <c r="J313" s="2"/>
      <c r="K313" s="4"/>
      <c r="L313" s="2"/>
      <c r="M313" s="2"/>
      <c r="N313" s="2"/>
      <c r="O313" s="2"/>
      <c r="P313" s="4"/>
      <c r="Q313" s="2"/>
      <c r="R313" s="2"/>
      <c r="S313" s="12"/>
      <c r="T313" s="2"/>
      <c r="U313" s="2"/>
      <c r="V313" s="2"/>
      <c r="W313" s="2"/>
      <c r="X313" s="2"/>
      <c r="Y313" s="13"/>
      <c r="Z313" s="52"/>
      <c r="AA313" s="52"/>
      <c r="AB313" s="52"/>
      <c r="AC313" s="52"/>
    </row>
    <row r="314" spans="1:29" s="53" customFormat="1" ht="10.5" customHeight="1" x14ac:dyDescent="0.25">
      <c r="A314" s="70"/>
      <c r="B314" s="4"/>
      <c r="C314" s="100"/>
      <c r="I314" s="2"/>
      <c r="J314" s="2"/>
      <c r="K314" s="4"/>
      <c r="L314" s="2"/>
      <c r="M314" s="2"/>
      <c r="N314" s="2"/>
      <c r="O314" s="2"/>
      <c r="P314" s="4"/>
      <c r="Q314" s="2"/>
      <c r="R314" s="2"/>
      <c r="S314" s="12"/>
      <c r="T314" s="2"/>
      <c r="U314" s="2"/>
      <c r="V314" s="2"/>
      <c r="W314" s="2"/>
      <c r="X314" s="2"/>
      <c r="Y314" s="13"/>
      <c r="Z314" s="52"/>
      <c r="AA314" s="52"/>
      <c r="AB314" s="52"/>
      <c r="AC314" s="52"/>
    </row>
    <row r="315" spans="1:29" s="53" customFormat="1" ht="10.5" customHeight="1" x14ac:dyDescent="0.25">
      <c r="A315" s="70"/>
      <c r="B315" s="4"/>
      <c r="C315" s="100"/>
      <c r="I315" s="2"/>
      <c r="J315" s="2"/>
      <c r="K315" s="4"/>
      <c r="L315" s="2"/>
      <c r="M315" s="2"/>
      <c r="N315" s="2"/>
      <c r="O315" s="2"/>
      <c r="P315" s="4"/>
      <c r="Q315" s="2"/>
      <c r="R315" s="2"/>
      <c r="S315" s="12"/>
      <c r="T315" s="2"/>
      <c r="U315" s="2"/>
      <c r="V315" s="2"/>
      <c r="W315" s="2"/>
      <c r="X315" s="2"/>
      <c r="Y315" s="13"/>
      <c r="Z315" s="52"/>
      <c r="AA315" s="52"/>
      <c r="AB315" s="52"/>
      <c r="AC315" s="52"/>
    </row>
    <row r="316" spans="1:29" s="53" customFormat="1" ht="10.5" customHeight="1" x14ac:dyDescent="0.25">
      <c r="A316" s="70"/>
      <c r="B316" s="4"/>
      <c r="C316" s="100"/>
      <c r="I316" s="2"/>
      <c r="J316" s="2"/>
      <c r="K316" s="4"/>
      <c r="L316" s="2"/>
      <c r="M316" s="2"/>
      <c r="N316" s="2"/>
      <c r="O316" s="2"/>
      <c r="P316" s="4"/>
      <c r="Q316" s="2"/>
      <c r="R316" s="2"/>
      <c r="S316" s="12"/>
      <c r="T316" s="2"/>
      <c r="U316" s="2"/>
      <c r="V316" s="2"/>
      <c r="W316" s="2"/>
      <c r="X316" s="2"/>
      <c r="Y316" s="13"/>
      <c r="Z316" s="52"/>
      <c r="AA316" s="52"/>
      <c r="AB316" s="52"/>
      <c r="AC316" s="52"/>
    </row>
    <row r="317" spans="1:29" s="53" customFormat="1" ht="10.5" customHeight="1" x14ac:dyDescent="0.25">
      <c r="A317" s="70"/>
      <c r="B317" s="4"/>
      <c r="C317" s="100"/>
      <c r="I317" s="2"/>
      <c r="J317" s="2"/>
      <c r="K317" s="4"/>
      <c r="L317" s="2"/>
      <c r="M317" s="2"/>
      <c r="N317" s="2"/>
      <c r="O317" s="2"/>
      <c r="P317" s="4"/>
      <c r="Q317" s="2"/>
      <c r="R317" s="2"/>
      <c r="S317" s="12"/>
      <c r="T317" s="2"/>
      <c r="U317" s="2"/>
      <c r="V317" s="2"/>
      <c r="W317" s="2"/>
      <c r="X317" s="2"/>
      <c r="Y317" s="13"/>
      <c r="Z317" s="52"/>
      <c r="AA317" s="52"/>
      <c r="AB317" s="52"/>
      <c r="AC317" s="52"/>
    </row>
    <row r="318" spans="1:29" s="53" customFormat="1" ht="10.5" customHeight="1" x14ac:dyDescent="0.25">
      <c r="A318" s="70"/>
      <c r="B318" s="4"/>
      <c r="C318" s="100"/>
      <c r="I318" s="2"/>
      <c r="J318" s="2"/>
      <c r="K318" s="4"/>
      <c r="L318" s="2"/>
      <c r="M318" s="2"/>
      <c r="N318" s="2"/>
      <c r="O318" s="2"/>
      <c r="P318" s="4"/>
      <c r="Q318" s="2"/>
      <c r="R318" s="2"/>
      <c r="S318" s="12"/>
      <c r="T318" s="2"/>
      <c r="U318" s="2"/>
      <c r="V318" s="2"/>
      <c r="W318" s="2"/>
      <c r="X318" s="2"/>
      <c r="Y318" s="13"/>
      <c r="Z318" s="52"/>
      <c r="AA318" s="52"/>
      <c r="AB318" s="52"/>
      <c r="AC318" s="52"/>
    </row>
    <row r="319" spans="1:29" s="53" customFormat="1" ht="10.5" customHeight="1" x14ac:dyDescent="0.25">
      <c r="A319" s="70"/>
      <c r="B319" s="4"/>
      <c r="C319" s="100"/>
      <c r="I319" s="2"/>
      <c r="J319" s="2"/>
      <c r="K319" s="4"/>
      <c r="L319" s="2"/>
      <c r="M319" s="2"/>
      <c r="N319" s="2"/>
      <c r="O319" s="2"/>
      <c r="P319" s="4"/>
      <c r="Q319" s="2"/>
      <c r="R319" s="2"/>
      <c r="S319" s="12"/>
      <c r="T319" s="2"/>
      <c r="U319" s="2"/>
      <c r="V319" s="2"/>
      <c r="W319" s="2"/>
      <c r="X319" s="2"/>
      <c r="Y319" s="13"/>
      <c r="Z319" s="52"/>
      <c r="AA319" s="52"/>
      <c r="AB319" s="52"/>
      <c r="AC319" s="52"/>
    </row>
    <row r="320" spans="1:29" s="53" customFormat="1" ht="10.5" customHeight="1" x14ac:dyDescent="0.25">
      <c r="A320" s="70"/>
      <c r="B320" s="4"/>
      <c r="C320" s="100"/>
      <c r="I320" s="2"/>
      <c r="J320" s="2"/>
      <c r="K320" s="4"/>
      <c r="L320" s="2"/>
      <c r="M320" s="2"/>
      <c r="N320" s="2"/>
      <c r="O320" s="2"/>
      <c r="P320" s="4"/>
      <c r="Q320" s="2"/>
      <c r="R320" s="2"/>
      <c r="S320" s="12"/>
      <c r="T320" s="2"/>
      <c r="U320" s="2"/>
      <c r="V320" s="2"/>
      <c r="W320" s="2"/>
      <c r="X320" s="2"/>
      <c r="Y320" s="13"/>
      <c r="Z320" s="52"/>
      <c r="AA320" s="52"/>
      <c r="AB320" s="52"/>
      <c r="AC320" s="52"/>
    </row>
    <row r="321" spans="1:29" s="53" customFormat="1" ht="10.5" customHeight="1" x14ac:dyDescent="0.25">
      <c r="A321" s="70"/>
      <c r="B321" s="4"/>
      <c r="C321" s="100"/>
      <c r="I321" s="2"/>
      <c r="J321" s="2"/>
      <c r="K321" s="4"/>
      <c r="L321" s="2"/>
      <c r="M321" s="2"/>
      <c r="N321" s="2"/>
      <c r="O321" s="2"/>
      <c r="P321" s="4"/>
      <c r="Q321" s="2"/>
      <c r="R321" s="2"/>
      <c r="S321" s="12"/>
      <c r="T321" s="2"/>
      <c r="U321" s="2"/>
      <c r="V321" s="2"/>
      <c r="W321" s="2"/>
      <c r="X321" s="2"/>
      <c r="Y321" s="13"/>
      <c r="Z321" s="52"/>
      <c r="AA321" s="52"/>
      <c r="AB321" s="52"/>
      <c r="AC321" s="52"/>
    </row>
    <row r="322" spans="1:29" s="53" customFormat="1" ht="10.5" customHeight="1" x14ac:dyDescent="0.25">
      <c r="A322" s="70"/>
      <c r="B322" s="4"/>
      <c r="C322" s="100"/>
      <c r="I322" s="2"/>
      <c r="J322" s="2"/>
      <c r="K322" s="4"/>
      <c r="L322" s="2"/>
      <c r="M322" s="2"/>
      <c r="N322" s="2"/>
      <c r="O322" s="2"/>
      <c r="P322" s="4"/>
      <c r="Q322" s="2"/>
      <c r="R322" s="2"/>
      <c r="S322" s="12"/>
      <c r="T322" s="2"/>
      <c r="U322" s="2"/>
      <c r="V322" s="2"/>
      <c r="W322" s="2"/>
      <c r="X322" s="2"/>
      <c r="Y322" s="13"/>
      <c r="Z322" s="52"/>
      <c r="AA322" s="52"/>
      <c r="AB322" s="52"/>
      <c r="AC322" s="52"/>
    </row>
    <row r="323" spans="1:29" s="53" customFormat="1" ht="10.5" customHeight="1" x14ac:dyDescent="0.25">
      <c r="A323" s="70"/>
      <c r="B323" s="4"/>
      <c r="C323" s="100"/>
      <c r="I323" s="2"/>
      <c r="J323" s="2"/>
      <c r="K323" s="4"/>
      <c r="L323" s="2"/>
      <c r="M323" s="2"/>
      <c r="N323" s="2"/>
      <c r="O323" s="2"/>
      <c r="P323" s="4"/>
      <c r="Q323" s="2"/>
      <c r="R323" s="2"/>
      <c r="S323" s="12"/>
      <c r="T323" s="2"/>
      <c r="U323" s="2"/>
      <c r="V323" s="2"/>
      <c r="W323" s="2"/>
      <c r="X323" s="2"/>
      <c r="Y323" s="13"/>
      <c r="Z323" s="52"/>
      <c r="AA323" s="52"/>
      <c r="AB323" s="52"/>
      <c r="AC323" s="52"/>
    </row>
    <row r="324" spans="1:29" s="53" customFormat="1" ht="10.5" customHeight="1" x14ac:dyDescent="0.25">
      <c r="A324" s="70"/>
      <c r="B324" s="4"/>
      <c r="C324" s="100"/>
      <c r="I324" s="2"/>
      <c r="J324" s="2"/>
      <c r="K324" s="4"/>
      <c r="L324" s="2"/>
      <c r="M324" s="2"/>
      <c r="N324" s="2"/>
      <c r="O324" s="2"/>
      <c r="P324" s="4"/>
      <c r="Q324" s="2"/>
      <c r="R324" s="2"/>
      <c r="S324" s="12"/>
      <c r="T324" s="2"/>
      <c r="U324" s="2"/>
      <c r="V324" s="2"/>
      <c r="W324" s="2"/>
      <c r="X324" s="2"/>
      <c r="Y324" s="13"/>
      <c r="Z324" s="52"/>
      <c r="AA324" s="52"/>
      <c r="AB324" s="52"/>
      <c r="AC324" s="52"/>
    </row>
    <row r="325" spans="1:29" s="53" customFormat="1" ht="10.5" customHeight="1" x14ac:dyDescent="0.25">
      <c r="A325" s="70"/>
      <c r="B325" s="4"/>
      <c r="C325" s="100"/>
      <c r="I325" s="2"/>
      <c r="J325" s="2"/>
      <c r="K325" s="4"/>
      <c r="L325" s="2"/>
      <c r="M325" s="2"/>
      <c r="N325" s="2"/>
      <c r="O325" s="2"/>
      <c r="P325" s="4"/>
      <c r="Q325" s="2"/>
      <c r="R325" s="2"/>
      <c r="S325" s="12"/>
      <c r="T325" s="2"/>
      <c r="U325" s="2"/>
      <c r="V325" s="2"/>
      <c r="W325" s="2"/>
      <c r="X325" s="2"/>
      <c r="Y325" s="13"/>
      <c r="Z325" s="52"/>
      <c r="AA325" s="52"/>
      <c r="AB325" s="52"/>
      <c r="AC325" s="52"/>
    </row>
    <row r="326" spans="1:29" s="53" customFormat="1" ht="10.5" customHeight="1" x14ac:dyDescent="0.25">
      <c r="A326" s="70"/>
      <c r="B326" s="4"/>
      <c r="C326" s="100"/>
      <c r="I326" s="2"/>
      <c r="J326" s="2"/>
      <c r="K326" s="4"/>
      <c r="L326" s="2"/>
      <c r="M326" s="2"/>
      <c r="N326" s="2"/>
      <c r="O326" s="2"/>
      <c r="P326" s="4"/>
      <c r="Q326" s="2"/>
      <c r="R326" s="2"/>
      <c r="S326" s="12"/>
      <c r="T326" s="2"/>
      <c r="U326" s="2"/>
      <c r="V326" s="2"/>
      <c r="W326" s="2"/>
      <c r="X326" s="2"/>
      <c r="Y326" s="13"/>
      <c r="Z326" s="52"/>
      <c r="AA326" s="52"/>
      <c r="AB326" s="52"/>
      <c r="AC326" s="52"/>
    </row>
    <row r="327" spans="1:29" s="53" customFormat="1" ht="10.5" customHeight="1" x14ac:dyDescent="0.25">
      <c r="A327" s="70"/>
      <c r="B327" s="4"/>
      <c r="C327" s="100"/>
      <c r="I327" s="2"/>
      <c r="J327" s="2"/>
      <c r="K327" s="4"/>
      <c r="L327" s="2"/>
      <c r="M327" s="2"/>
      <c r="N327" s="2"/>
      <c r="O327" s="2"/>
      <c r="P327" s="4"/>
      <c r="Q327" s="2"/>
      <c r="R327" s="2"/>
      <c r="S327" s="12"/>
      <c r="T327" s="2"/>
      <c r="U327" s="2"/>
      <c r="V327" s="2"/>
      <c r="W327" s="2"/>
      <c r="X327" s="2"/>
      <c r="Y327" s="13"/>
      <c r="Z327" s="52"/>
      <c r="AA327" s="52"/>
      <c r="AB327" s="52"/>
      <c r="AC327" s="52"/>
    </row>
    <row r="328" spans="1:29" s="53" customFormat="1" ht="10.5" customHeight="1" x14ac:dyDescent="0.25">
      <c r="A328" s="70"/>
      <c r="B328" s="4"/>
      <c r="C328" s="100"/>
      <c r="I328" s="2"/>
      <c r="J328" s="2"/>
      <c r="K328" s="4"/>
      <c r="L328" s="2"/>
      <c r="M328" s="2"/>
      <c r="N328" s="2"/>
      <c r="O328" s="2"/>
      <c r="P328" s="4"/>
      <c r="Q328" s="2"/>
      <c r="R328" s="2"/>
      <c r="S328" s="12"/>
      <c r="T328" s="2"/>
      <c r="U328" s="2"/>
      <c r="V328" s="2"/>
      <c r="W328" s="2"/>
      <c r="X328" s="2"/>
      <c r="Y328" s="13"/>
      <c r="Z328" s="52"/>
      <c r="AA328" s="52"/>
      <c r="AB328" s="52"/>
      <c r="AC328" s="52"/>
    </row>
    <row r="329" spans="1:29" s="53" customFormat="1" ht="10.5" customHeight="1" x14ac:dyDescent="0.25">
      <c r="A329" s="70"/>
      <c r="B329" s="4"/>
      <c r="C329" s="100"/>
      <c r="I329" s="2"/>
      <c r="J329" s="2"/>
      <c r="K329" s="4"/>
      <c r="L329" s="2"/>
      <c r="M329" s="2"/>
      <c r="N329" s="2"/>
      <c r="O329" s="2"/>
      <c r="P329" s="4"/>
      <c r="Q329" s="2"/>
      <c r="R329" s="2"/>
      <c r="S329" s="12"/>
      <c r="T329" s="2"/>
      <c r="U329" s="2"/>
      <c r="V329" s="2"/>
      <c r="W329" s="2"/>
      <c r="X329" s="2"/>
      <c r="Y329" s="13"/>
      <c r="Z329" s="52"/>
      <c r="AA329" s="52"/>
      <c r="AB329" s="52"/>
      <c r="AC329" s="52"/>
    </row>
    <row r="330" spans="1:29" s="53" customFormat="1" ht="10.5" customHeight="1" x14ac:dyDescent="0.25">
      <c r="A330" s="70"/>
      <c r="B330" s="4"/>
      <c r="C330" s="100"/>
      <c r="I330" s="2"/>
      <c r="J330" s="2"/>
      <c r="K330" s="4"/>
      <c r="L330" s="2"/>
      <c r="M330" s="2"/>
      <c r="N330" s="2"/>
      <c r="O330" s="2"/>
      <c r="P330" s="4"/>
      <c r="Q330" s="2"/>
      <c r="R330" s="2"/>
      <c r="S330" s="12"/>
      <c r="T330" s="2"/>
      <c r="U330" s="2"/>
      <c r="V330" s="2"/>
      <c r="W330" s="2"/>
      <c r="X330" s="2"/>
      <c r="Y330" s="13"/>
      <c r="Z330" s="52"/>
      <c r="AA330" s="52"/>
      <c r="AB330" s="52"/>
      <c r="AC330" s="52"/>
    </row>
    <row r="331" spans="1:29" s="53" customFormat="1" ht="10.5" customHeight="1" x14ac:dyDescent="0.25">
      <c r="A331" s="70"/>
      <c r="B331" s="4"/>
      <c r="C331" s="100"/>
      <c r="I331" s="2"/>
      <c r="J331" s="2"/>
      <c r="K331" s="4"/>
      <c r="L331" s="2"/>
      <c r="M331" s="2"/>
      <c r="N331" s="2"/>
      <c r="O331" s="2"/>
      <c r="P331" s="4"/>
      <c r="Q331" s="2"/>
      <c r="R331" s="2"/>
      <c r="S331" s="12"/>
      <c r="T331" s="2"/>
      <c r="U331" s="2"/>
      <c r="V331" s="2"/>
      <c r="W331" s="2"/>
      <c r="X331" s="2"/>
      <c r="Y331" s="13"/>
      <c r="Z331" s="52"/>
      <c r="AA331" s="52"/>
      <c r="AB331" s="52"/>
      <c r="AC331" s="52"/>
    </row>
    <row r="332" spans="1:29" s="53" customFormat="1" ht="10.5" customHeight="1" x14ac:dyDescent="0.25">
      <c r="A332" s="70"/>
      <c r="B332" s="4"/>
      <c r="C332" s="100"/>
      <c r="I332" s="2"/>
      <c r="J332" s="2"/>
      <c r="K332" s="4"/>
      <c r="L332" s="2"/>
      <c r="M332" s="2"/>
      <c r="N332" s="2"/>
      <c r="O332" s="2"/>
      <c r="P332" s="4"/>
      <c r="Q332" s="2"/>
      <c r="R332" s="2"/>
      <c r="S332" s="12"/>
      <c r="T332" s="2"/>
      <c r="U332" s="2"/>
      <c r="V332" s="2"/>
      <c r="W332" s="2"/>
      <c r="X332" s="2"/>
      <c r="Y332" s="13"/>
      <c r="Z332" s="52"/>
      <c r="AA332" s="52"/>
      <c r="AB332" s="52"/>
      <c r="AC332" s="52"/>
    </row>
    <row r="333" spans="1:29" s="53" customFormat="1" ht="10.5" customHeight="1" x14ac:dyDescent="0.25">
      <c r="A333" s="70"/>
      <c r="B333" s="4"/>
      <c r="C333" s="100"/>
      <c r="I333" s="2"/>
      <c r="J333" s="2"/>
      <c r="K333" s="4"/>
      <c r="L333" s="2"/>
      <c r="M333" s="2"/>
      <c r="N333" s="2"/>
      <c r="O333" s="2"/>
      <c r="P333" s="4"/>
      <c r="Q333" s="2"/>
      <c r="R333" s="2"/>
      <c r="S333" s="12"/>
      <c r="T333" s="2"/>
      <c r="U333" s="2"/>
      <c r="V333" s="2"/>
      <c r="W333" s="2"/>
      <c r="X333" s="2"/>
      <c r="Y333" s="13"/>
      <c r="Z333" s="52"/>
      <c r="AA333" s="52"/>
      <c r="AB333" s="52"/>
      <c r="AC333" s="52"/>
    </row>
    <row r="334" spans="1:29" s="53" customFormat="1" ht="10.5" customHeight="1" x14ac:dyDescent="0.25">
      <c r="A334" s="70"/>
      <c r="B334" s="4"/>
      <c r="C334" s="100"/>
      <c r="I334" s="2"/>
      <c r="J334" s="2"/>
      <c r="K334" s="4"/>
      <c r="L334" s="2"/>
      <c r="M334" s="2"/>
      <c r="N334" s="2"/>
      <c r="O334" s="2"/>
      <c r="P334" s="4"/>
      <c r="Q334" s="2"/>
      <c r="R334" s="2"/>
      <c r="S334" s="12"/>
      <c r="T334" s="2"/>
      <c r="U334" s="2"/>
      <c r="V334" s="2"/>
      <c r="W334" s="2"/>
      <c r="X334" s="2"/>
      <c r="Y334" s="13"/>
      <c r="Z334" s="52"/>
      <c r="AA334" s="52"/>
      <c r="AB334" s="52"/>
      <c r="AC334" s="52"/>
    </row>
    <row r="335" spans="1:29" s="53" customFormat="1" ht="10.5" customHeight="1" x14ac:dyDescent="0.25">
      <c r="A335" s="70"/>
      <c r="B335" s="4"/>
      <c r="C335" s="100"/>
      <c r="I335" s="2"/>
      <c r="J335" s="2"/>
      <c r="K335" s="4"/>
      <c r="L335" s="2"/>
      <c r="M335" s="2"/>
      <c r="N335" s="2"/>
      <c r="O335" s="2"/>
      <c r="P335" s="4"/>
      <c r="Q335" s="2"/>
      <c r="R335" s="2"/>
      <c r="S335" s="12"/>
      <c r="T335" s="2"/>
      <c r="U335" s="2"/>
      <c r="V335" s="2"/>
      <c r="W335" s="2"/>
      <c r="X335" s="2"/>
      <c r="Y335" s="13"/>
      <c r="Z335" s="52"/>
      <c r="AA335" s="52"/>
      <c r="AB335" s="52"/>
      <c r="AC335" s="52"/>
    </row>
    <row r="336" spans="1:29" s="53" customFormat="1" ht="10.5" customHeight="1" x14ac:dyDescent="0.25">
      <c r="A336" s="70"/>
      <c r="B336" s="4"/>
      <c r="C336" s="100"/>
      <c r="I336" s="2"/>
      <c r="J336" s="2"/>
      <c r="K336" s="4"/>
      <c r="L336" s="2"/>
      <c r="M336" s="2"/>
      <c r="N336" s="2"/>
      <c r="O336" s="2"/>
      <c r="P336" s="4"/>
      <c r="Q336" s="2"/>
      <c r="R336" s="2"/>
      <c r="S336" s="12"/>
      <c r="T336" s="2"/>
      <c r="U336" s="2"/>
      <c r="V336" s="2"/>
      <c r="W336" s="2"/>
      <c r="X336" s="2"/>
      <c r="Y336" s="13"/>
      <c r="Z336" s="52"/>
      <c r="AA336" s="52"/>
      <c r="AB336" s="52"/>
      <c r="AC336" s="52"/>
    </row>
    <row r="337" spans="1:29" s="53" customFormat="1" ht="10.5" customHeight="1" x14ac:dyDescent="0.25">
      <c r="A337" s="70"/>
      <c r="B337" s="4"/>
      <c r="C337" s="100"/>
      <c r="I337" s="2"/>
      <c r="J337" s="2"/>
      <c r="K337" s="4"/>
      <c r="L337" s="2"/>
      <c r="M337" s="2"/>
      <c r="N337" s="2"/>
      <c r="O337" s="2"/>
      <c r="P337" s="4"/>
      <c r="Q337" s="2"/>
      <c r="R337" s="2"/>
      <c r="S337" s="12"/>
      <c r="T337" s="2"/>
      <c r="U337" s="2"/>
      <c r="V337" s="2"/>
      <c r="W337" s="2"/>
      <c r="X337" s="2"/>
      <c r="Y337" s="13"/>
      <c r="Z337" s="52"/>
      <c r="AA337" s="52"/>
      <c r="AB337" s="52"/>
      <c r="AC337" s="52"/>
    </row>
    <row r="338" spans="1:29" s="53" customFormat="1" ht="10.5" customHeight="1" x14ac:dyDescent="0.25">
      <c r="A338" s="70"/>
      <c r="B338" s="4"/>
      <c r="C338" s="100"/>
      <c r="I338" s="2"/>
      <c r="J338" s="2"/>
      <c r="K338" s="4"/>
      <c r="L338" s="2"/>
      <c r="M338" s="2"/>
      <c r="N338" s="2"/>
      <c r="O338" s="2"/>
      <c r="P338" s="4"/>
      <c r="Q338" s="2"/>
      <c r="R338" s="2"/>
      <c r="S338" s="12"/>
      <c r="T338" s="2"/>
      <c r="U338" s="2"/>
      <c r="V338" s="2"/>
      <c r="W338" s="2"/>
      <c r="X338" s="2"/>
      <c r="Y338" s="13"/>
      <c r="Z338" s="52"/>
      <c r="AA338" s="52"/>
      <c r="AB338" s="52"/>
      <c r="AC338" s="52"/>
    </row>
    <row r="339" spans="1:29" s="53" customFormat="1" ht="10.5" customHeight="1" x14ac:dyDescent="0.25">
      <c r="A339" s="70"/>
      <c r="B339" s="4"/>
      <c r="C339" s="100"/>
      <c r="I339" s="2"/>
      <c r="J339" s="2"/>
      <c r="K339" s="4"/>
      <c r="L339" s="2"/>
      <c r="M339" s="2"/>
      <c r="N339" s="2"/>
      <c r="O339" s="2"/>
      <c r="P339" s="4"/>
      <c r="Q339" s="2"/>
      <c r="R339" s="2"/>
      <c r="S339" s="12"/>
      <c r="T339" s="2"/>
      <c r="U339" s="2"/>
      <c r="V339" s="2"/>
      <c r="W339" s="2"/>
      <c r="X339" s="2"/>
      <c r="Y339" s="13"/>
      <c r="Z339" s="52"/>
      <c r="AA339" s="52"/>
      <c r="AB339" s="52"/>
      <c r="AC339" s="52"/>
    </row>
    <row r="340" spans="1:29" s="53" customFormat="1" ht="10.5" customHeight="1" x14ac:dyDescent="0.25">
      <c r="A340" s="70"/>
      <c r="B340" s="4"/>
      <c r="C340" s="100"/>
      <c r="I340" s="2"/>
      <c r="J340" s="2"/>
      <c r="K340" s="4"/>
      <c r="L340" s="2"/>
      <c r="M340" s="2"/>
      <c r="N340" s="2"/>
      <c r="O340" s="2"/>
      <c r="P340" s="4"/>
      <c r="Q340" s="2"/>
      <c r="R340" s="2"/>
      <c r="S340" s="12"/>
      <c r="T340" s="2"/>
      <c r="U340" s="2"/>
      <c r="V340" s="2"/>
      <c r="W340" s="2"/>
      <c r="X340" s="2"/>
      <c r="Y340" s="13"/>
      <c r="Z340" s="52"/>
      <c r="AA340" s="52"/>
      <c r="AB340" s="52"/>
      <c r="AC340" s="52"/>
    </row>
    <row r="341" spans="1:29" s="53" customFormat="1" ht="10.5" customHeight="1" x14ac:dyDescent="0.25">
      <c r="A341" s="70"/>
      <c r="B341" s="4"/>
      <c r="C341" s="100"/>
      <c r="I341" s="2"/>
      <c r="J341" s="2"/>
      <c r="K341" s="4"/>
      <c r="L341" s="2"/>
      <c r="M341" s="2"/>
      <c r="N341" s="2"/>
      <c r="O341" s="2"/>
      <c r="P341" s="4"/>
      <c r="Q341" s="2"/>
      <c r="R341" s="2"/>
      <c r="S341" s="12"/>
      <c r="T341" s="2"/>
      <c r="U341" s="2"/>
      <c r="V341" s="2"/>
      <c r="W341" s="2"/>
      <c r="X341" s="2"/>
      <c r="Y341" s="13"/>
      <c r="Z341" s="52"/>
      <c r="AA341" s="52"/>
      <c r="AB341" s="52"/>
      <c r="AC341" s="52"/>
    </row>
    <row r="342" spans="1:29" s="53" customFormat="1" ht="10.5" customHeight="1" x14ac:dyDescent="0.25">
      <c r="A342" s="70"/>
      <c r="B342" s="4"/>
      <c r="C342" s="100"/>
      <c r="I342" s="2"/>
      <c r="J342" s="2"/>
      <c r="K342" s="4"/>
      <c r="L342" s="2"/>
      <c r="M342" s="2"/>
      <c r="N342" s="2"/>
      <c r="O342" s="2"/>
      <c r="P342" s="4"/>
      <c r="Q342" s="2"/>
      <c r="R342" s="2"/>
      <c r="S342" s="12"/>
      <c r="T342" s="2"/>
      <c r="U342" s="2"/>
      <c r="V342" s="2"/>
      <c r="W342" s="2"/>
      <c r="X342" s="2"/>
      <c r="Y342" s="13"/>
      <c r="Z342" s="52"/>
      <c r="AA342" s="52"/>
      <c r="AB342" s="52"/>
      <c r="AC342" s="52"/>
    </row>
    <row r="343" spans="1:29" s="53" customFormat="1" ht="10.5" customHeight="1" x14ac:dyDescent="0.25">
      <c r="A343" s="70"/>
      <c r="B343" s="4"/>
      <c r="C343" s="100"/>
      <c r="I343" s="2"/>
      <c r="J343" s="2"/>
      <c r="K343" s="4"/>
      <c r="L343" s="2"/>
      <c r="M343" s="2"/>
      <c r="N343" s="2"/>
      <c r="O343" s="2"/>
      <c r="P343" s="4"/>
      <c r="Q343" s="2"/>
      <c r="R343" s="2"/>
      <c r="S343" s="12"/>
      <c r="T343" s="2"/>
      <c r="U343" s="2"/>
      <c r="V343" s="2"/>
      <c r="W343" s="2"/>
      <c r="X343" s="2"/>
      <c r="Y343" s="13"/>
      <c r="Z343" s="52"/>
      <c r="AA343" s="52"/>
      <c r="AB343" s="52"/>
      <c r="AC343" s="52"/>
    </row>
    <row r="344" spans="1:29" s="53" customFormat="1" ht="10.5" customHeight="1" x14ac:dyDescent="0.25">
      <c r="A344" s="70"/>
      <c r="B344" s="4"/>
      <c r="C344" s="100"/>
      <c r="I344" s="2"/>
      <c r="J344" s="2"/>
      <c r="K344" s="4"/>
      <c r="L344" s="2"/>
      <c r="M344" s="2"/>
      <c r="N344" s="2"/>
      <c r="O344" s="2"/>
      <c r="P344" s="4"/>
      <c r="Q344" s="2"/>
      <c r="R344" s="2"/>
      <c r="S344" s="12"/>
      <c r="T344" s="2"/>
      <c r="U344" s="2"/>
      <c r="V344" s="2"/>
      <c r="W344" s="2"/>
      <c r="X344" s="2"/>
      <c r="Y344" s="13"/>
      <c r="Z344" s="52"/>
      <c r="AA344" s="52"/>
      <c r="AB344" s="52"/>
      <c r="AC344" s="52"/>
    </row>
    <row r="345" spans="1:29" s="53" customFormat="1" ht="10.5" customHeight="1" x14ac:dyDescent="0.25">
      <c r="A345" s="70"/>
      <c r="B345" s="4"/>
      <c r="C345" s="100"/>
      <c r="I345" s="2"/>
      <c r="J345" s="2"/>
      <c r="K345" s="4"/>
      <c r="L345" s="2"/>
      <c r="M345" s="2"/>
      <c r="N345" s="2"/>
      <c r="O345" s="2"/>
      <c r="P345" s="4"/>
      <c r="Q345" s="2"/>
      <c r="R345" s="2"/>
      <c r="S345" s="12"/>
      <c r="T345" s="2"/>
      <c r="U345" s="2"/>
      <c r="V345" s="2"/>
      <c r="W345" s="2"/>
      <c r="X345" s="2"/>
      <c r="Y345" s="13"/>
      <c r="Z345" s="52"/>
      <c r="AA345" s="52"/>
      <c r="AB345" s="52"/>
      <c r="AC345" s="52"/>
    </row>
    <row r="346" spans="1:29" s="53" customFormat="1" ht="10.5" customHeight="1" x14ac:dyDescent="0.25">
      <c r="A346" s="70"/>
      <c r="B346" s="4"/>
      <c r="C346" s="100"/>
      <c r="I346" s="2"/>
      <c r="J346" s="2"/>
      <c r="K346" s="4"/>
      <c r="L346" s="2"/>
      <c r="M346" s="2"/>
      <c r="N346" s="2"/>
      <c r="O346" s="2"/>
      <c r="P346" s="4"/>
      <c r="Q346" s="2"/>
      <c r="R346" s="2"/>
      <c r="S346" s="12"/>
      <c r="T346" s="2"/>
      <c r="U346" s="2"/>
      <c r="V346" s="2"/>
      <c r="W346" s="2"/>
      <c r="X346" s="2"/>
      <c r="Y346" s="13"/>
      <c r="Z346" s="52"/>
      <c r="AA346" s="52"/>
      <c r="AB346" s="52"/>
      <c r="AC346" s="52"/>
    </row>
    <row r="347" spans="1:29" s="53" customFormat="1" ht="10.5" customHeight="1" x14ac:dyDescent="0.25">
      <c r="A347" s="70"/>
      <c r="B347" s="4"/>
      <c r="C347" s="100"/>
      <c r="I347" s="2"/>
      <c r="J347" s="2"/>
      <c r="K347" s="4"/>
      <c r="L347" s="2"/>
      <c r="M347" s="2"/>
      <c r="N347" s="2"/>
      <c r="O347" s="2"/>
      <c r="P347" s="4"/>
      <c r="Q347" s="2"/>
      <c r="R347" s="2"/>
      <c r="S347" s="12"/>
      <c r="T347" s="2"/>
      <c r="U347" s="2"/>
      <c r="V347" s="2"/>
      <c r="W347" s="2"/>
      <c r="X347" s="2"/>
      <c r="Y347" s="13"/>
      <c r="Z347" s="52"/>
      <c r="AA347" s="52"/>
      <c r="AB347" s="52"/>
      <c r="AC347" s="52"/>
    </row>
    <row r="348" spans="1:29" s="53" customFormat="1" ht="10.5" customHeight="1" x14ac:dyDescent="0.25">
      <c r="A348" s="70"/>
      <c r="B348" s="4"/>
      <c r="C348" s="100"/>
      <c r="I348" s="2"/>
      <c r="J348" s="2"/>
      <c r="K348" s="4"/>
      <c r="L348" s="2"/>
      <c r="M348" s="2"/>
      <c r="N348" s="2"/>
      <c r="O348" s="2"/>
      <c r="P348" s="4"/>
      <c r="Q348" s="2"/>
      <c r="R348" s="2"/>
      <c r="S348" s="12"/>
      <c r="T348" s="2"/>
      <c r="U348" s="2"/>
      <c r="V348" s="2"/>
      <c r="W348" s="2"/>
      <c r="X348" s="2"/>
      <c r="Y348" s="13"/>
      <c r="Z348" s="52"/>
      <c r="AA348" s="52"/>
      <c r="AB348" s="52"/>
      <c r="AC348" s="52"/>
    </row>
    <row r="349" spans="1:29" s="53" customFormat="1" ht="10.5" customHeight="1" x14ac:dyDescent="0.25">
      <c r="A349" s="70"/>
      <c r="B349" s="4"/>
      <c r="C349" s="100"/>
      <c r="I349" s="2"/>
      <c r="J349" s="2"/>
      <c r="K349" s="4"/>
      <c r="L349" s="2"/>
      <c r="M349" s="2"/>
      <c r="N349" s="2"/>
      <c r="O349" s="2"/>
      <c r="P349" s="4"/>
      <c r="Q349" s="2"/>
      <c r="R349" s="2"/>
      <c r="S349" s="12"/>
      <c r="T349" s="2"/>
      <c r="U349" s="2"/>
      <c r="V349" s="2"/>
      <c r="W349" s="2"/>
      <c r="X349" s="2"/>
      <c r="Y349" s="13"/>
      <c r="Z349" s="52"/>
      <c r="AA349" s="52"/>
      <c r="AB349" s="52"/>
      <c r="AC349" s="52"/>
    </row>
    <row r="350" spans="1:29" s="53" customFormat="1" ht="10.5" customHeight="1" x14ac:dyDescent="0.25">
      <c r="A350" s="70"/>
      <c r="B350" s="4"/>
      <c r="C350" s="100"/>
      <c r="I350" s="2"/>
      <c r="J350" s="2"/>
      <c r="K350" s="4"/>
      <c r="L350" s="2"/>
      <c r="M350" s="2"/>
      <c r="N350" s="2"/>
      <c r="O350" s="2"/>
      <c r="P350" s="4"/>
      <c r="Q350" s="2"/>
      <c r="R350" s="2"/>
      <c r="S350" s="12"/>
      <c r="T350" s="2"/>
      <c r="U350" s="2"/>
      <c r="V350" s="2"/>
      <c r="W350" s="2"/>
      <c r="X350" s="2"/>
      <c r="Y350" s="13"/>
      <c r="Z350" s="52"/>
      <c r="AA350" s="52"/>
      <c r="AB350" s="52"/>
      <c r="AC350" s="52"/>
    </row>
    <row r="351" spans="1:29" s="53" customFormat="1" ht="10.5" customHeight="1" x14ac:dyDescent="0.25">
      <c r="A351" s="70"/>
      <c r="B351" s="4"/>
      <c r="C351" s="100"/>
      <c r="I351" s="2"/>
      <c r="J351" s="2"/>
      <c r="K351" s="4"/>
      <c r="L351" s="2"/>
      <c r="M351" s="2"/>
      <c r="N351" s="2"/>
      <c r="O351" s="2"/>
      <c r="P351" s="4"/>
      <c r="Q351" s="2"/>
      <c r="R351" s="2"/>
      <c r="S351" s="12"/>
      <c r="T351" s="2"/>
      <c r="U351" s="2"/>
      <c r="V351" s="2"/>
      <c r="W351" s="2"/>
      <c r="X351" s="2"/>
      <c r="Y351" s="13"/>
      <c r="Z351" s="52"/>
      <c r="AA351" s="52"/>
      <c r="AB351" s="52"/>
      <c r="AC351" s="52"/>
    </row>
    <row r="352" spans="1:29" s="53" customFormat="1" ht="10.5" customHeight="1" x14ac:dyDescent="0.25">
      <c r="A352" s="70"/>
      <c r="B352" s="4"/>
      <c r="C352" s="100"/>
      <c r="I352" s="2"/>
      <c r="J352" s="2"/>
      <c r="K352" s="4"/>
      <c r="L352" s="2"/>
      <c r="M352" s="2"/>
      <c r="N352" s="2"/>
      <c r="O352" s="2"/>
      <c r="P352" s="4"/>
      <c r="Q352" s="2"/>
      <c r="R352" s="2"/>
      <c r="S352" s="12"/>
      <c r="T352" s="2"/>
      <c r="U352" s="2"/>
      <c r="V352" s="2"/>
      <c r="W352" s="2"/>
      <c r="X352" s="2"/>
      <c r="Y352" s="13"/>
      <c r="Z352" s="52"/>
      <c r="AA352" s="52"/>
      <c r="AB352" s="52"/>
      <c r="AC352" s="52"/>
    </row>
    <row r="353" spans="1:29" s="53" customFormat="1" ht="10.5" customHeight="1" x14ac:dyDescent="0.25">
      <c r="A353" s="70"/>
      <c r="B353" s="4"/>
      <c r="C353" s="100"/>
      <c r="I353" s="2"/>
      <c r="J353" s="2"/>
      <c r="K353" s="4"/>
      <c r="L353" s="2"/>
      <c r="M353" s="2"/>
      <c r="N353" s="2"/>
      <c r="O353" s="2"/>
      <c r="P353" s="4"/>
      <c r="Q353" s="2"/>
      <c r="R353" s="2"/>
      <c r="S353" s="12"/>
      <c r="T353" s="2"/>
      <c r="U353" s="2"/>
      <c r="V353" s="2"/>
      <c r="W353" s="2"/>
      <c r="X353" s="2"/>
      <c r="Y353" s="13"/>
      <c r="Z353" s="52"/>
      <c r="AA353" s="52"/>
      <c r="AB353" s="52"/>
      <c r="AC353" s="52"/>
    </row>
    <row r="357" spans="1:29" ht="10.5" customHeight="1" x14ac:dyDescent="0.25">
      <c r="A357" s="15"/>
      <c r="B357" s="15"/>
      <c r="C357" s="15"/>
      <c r="I357" s="15"/>
      <c r="J357" s="15"/>
      <c r="L357" s="15"/>
      <c r="M357" s="15"/>
      <c r="N357" s="15"/>
      <c r="O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</row>
    <row r="358" spans="1:29" ht="10.5" customHeight="1" x14ac:dyDescent="0.25">
      <c r="A358" s="15"/>
      <c r="B358" s="15"/>
      <c r="C358" s="15"/>
      <c r="I358" s="15"/>
      <c r="J358" s="15"/>
      <c r="L358" s="15"/>
      <c r="M358" s="15"/>
      <c r="N358" s="15"/>
      <c r="O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</row>
    <row r="359" spans="1:29" ht="10.5" customHeight="1" x14ac:dyDescent="0.25">
      <c r="A359" s="15"/>
      <c r="B359" s="15"/>
      <c r="C359" s="15"/>
      <c r="I359" s="15"/>
      <c r="J359" s="15"/>
      <c r="L359" s="15"/>
      <c r="M359" s="15"/>
      <c r="N359" s="15"/>
      <c r="O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</row>
    <row r="360" spans="1:29" ht="10.5" customHeight="1" x14ac:dyDescent="0.25">
      <c r="A360" s="15"/>
      <c r="B360" s="15"/>
      <c r="C360" s="15"/>
      <c r="I360" s="15"/>
      <c r="J360" s="15"/>
      <c r="L360" s="15"/>
      <c r="M360" s="15"/>
      <c r="N360" s="15"/>
      <c r="O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</row>
    <row r="361" spans="1:29" ht="10.5" customHeight="1" x14ac:dyDescent="0.25">
      <c r="A361" s="15"/>
      <c r="B361" s="15"/>
      <c r="C361" s="15"/>
      <c r="I361" s="15"/>
      <c r="J361" s="15"/>
      <c r="L361" s="15"/>
      <c r="M361" s="15"/>
      <c r="N361" s="15"/>
      <c r="O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</row>
    <row r="362" spans="1:29" ht="10.5" customHeight="1" x14ac:dyDescent="0.25">
      <c r="A362" s="15"/>
      <c r="B362" s="15"/>
      <c r="C362" s="15"/>
      <c r="I362" s="15"/>
      <c r="J362" s="15"/>
      <c r="L362" s="15"/>
      <c r="M362" s="15"/>
      <c r="N362" s="15"/>
      <c r="O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</row>
    <row r="363" spans="1:29" ht="10.5" customHeight="1" x14ac:dyDescent="0.25">
      <c r="A363" s="15"/>
      <c r="B363" s="15"/>
      <c r="C363" s="15"/>
      <c r="I363" s="15"/>
      <c r="J363" s="15"/>
      <c r="L363" s="15"/>
      <c r="M363" s="15"/>
      <c r="N363" s="15"/>
      <c r="O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</row>
    <row r="364" spans="1:29" ht="10.5" customHeight="1" x14ac:dyDescent="0.25">
      <c r="A364" s="15"/>
      <c r="B364" s="15"/>
      <c r="C364" s="15"/>
      <c r="I364" s="15"/>
      <c r="J364" s="15"/>
      <c r="L364" s="15"/>
      <c r="M364" s="15"/>
      <c r="N364" s="15"/>
      <c r="O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</row>
    <row r="365" spans="1:29" ht="10.5" customHeight="1" x14ac:dyDescent="0.25">
      <c r="A365" s="15"/>
      <c r="B365" s="15"/>
      <c r="C365" s="15"/>
      <c r="I365" s="15"/>
      <c r="J365" s="15"/>
      <c r="L365" s="15"/>
      <c r="M365" s="15"/>
      <c r="N365" s="15"/>
      <c r="O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</row>
    <row r="366" spans="1:29" ht="10.5" customHeight="1" x14ac:dyDescent="0.25">
      <c r="A366" s="15"/>
      <c r="B366" s="15"/>
      <c r="C366" s="15"/>
      <c r="I366" s="15"/>
      <c r="J366" s="15"/>
      <c r="L366" s="15"/>
      <c r="M366" s="15"/>
      <c r="N366" s="15"/>
      <c r="O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</row>
    <row r="367" spans="1:29" ht="10.5" customHeight="1" x14ac:dyDescent="0.25">
      <c r="A367" s="15"/>
      <c r="B367" s="15"/>
      <c r="C367" s="15"/>
      <c r="I367" s="15"/>
      <c r="J367" s="15"/>
      <c r="L367" s="15"/>
      <c r="M367" s="15"/>
      <c r="N367" s="15"/>
      <c r="O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</row>
  </sheetData>
  <sheetProtection algorithmName="SHA-512" hashValue="xEM/cYxRXjOsF+KOFlzRHlA7e5p9gKDcJ5XFqFGB+B6G3ogeAVPE25Frnl34ufSOAr9lzp8Hou81tnsbABuzJg==" saltValue="jkcPJPkFHmH6nBOG8ULB5A==" spinCount="100000" sheet="1" objects="1" scenarios="1" formatColumns="0" formatRows="0"/>
  <dataConsolidate link="1"/>
  <mergeCells count="15">
    <mergeCell ref="A6:A11"/>
    <mergeCell ref="D21:F21"/>
    <mergeCell ref="D24:G24"/>
    <mergeCell ref="H24:H26"/>
    <mergeCell ref="D25:D26"/>
    <mergeCell ref="E25:E26"/>
    <mergeCell ref="F25:F26"/>
    <mergeCell ref="E197:G197"/>
    <mergeCell ref="A33:A37"/>
    <mergeCell ref="A38:A43"/>
    <mergeCell ref="A44:A49"/>
    <mergeCell ref="D68:D69"/>
    <mergeCell ref="F68:F69"/>
    <mergeCell ref="D70:D71"/>
    <mergeCell ref="F70:F71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 G43 G49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 E44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88:E107 E123:E142 E146:E165 E169:E188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9 G7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85 G192:G194">
      <formula1>900</formula1>
    </dataValidation>
    <dataValidation type="decimal" allowBlank="1" showErrorMessage="1" errorTitle="Ошибка" error="Допускается ввод только действительных чисел!" sqref="G77:G78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73 E74:E75">
      <formula1>900</formula1>
    </dataValidation>
    <dataValidation type="decimal" allowBlank="1" showErrorMessage="1" errorTitle="Ошибка" error="Допускается ввод только действительных чисел!" sqref="G80:G84 G190:G191 G116:G121 G144 G167 G17 G109 G86 G88:G107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95 G33 F8 G37 F40 F46">
      <formula1>900</formula1>
    </dataValidation>
    <dataValidation type="decimal" allowBlank="1" showErrorMessage="1" errorTitle="Ошибка" error="Допускается ввод только неотрицательных чисел!" sqref="G29 G70 G72 G79 G2 G34:G36 G51:G68 G31 G8:G10 G4 G13 G110:G115 G15 G40:G42 G46:G48 G74:G75 G123:G142 G146:G165 G169:G188">
      <formula1>0</formula1>
      <formula2>9.99999999999999E+23</formula2>
    </dataValidation>
  </dataValidations>
  <hyperlinks>
    <hyperlink ref="G85" location="'Форма 4.3.1'!$G$85" tooltip="Кликните по гиперссылке, чтобы перейти по гиперссылке или отредактировать её" display="https://portal.eias.ru/Portal/DownloadPage.aspx?type=12&amp;guid=3637cd45-32ed-4c02-8eb3-188e9b9ea6e3"/>
  </hyperlinks>
  <printOptions horizontalCentered="1" verticalCentered="1"/>
  <pageMargins left="0" right="0" top="0" bottom="0" header="0" footer="0.78740157480314965"/>
  <pageSetup paperSize="9" scale="51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2">
    <pageSetUpPr fitToPage="1"/>
  </sheetPr>
  <dimension ref="A1:AC281"/>
  <sheetViews>
    <sheetView showGridLines="0" topLeftCell="C82" zoomScaleNormal="100" workbookViewId="0">
      <selection activeCell="G92" sqref="G92"/>
    </sheetView>
  </sheetViews>
  <sheetFormatPr defaultRowHeight="10.5" customHeight="1" x14ac:dyDescent="0.25"/>
  <cols>
    <col min="1" max="1" width="19.140625" style="20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20"/>
      <c r="C1" s="3"/>
      <c r="G1" s="2">
        <v>4</v>
      </c>
      <c r="K1" s="4"/>
      <c r="P1" s="4"/>
    </row>
    <row r="2" spans="1:29" s="2" customFormat="1" ht="22.5" hidden="1" x14ac:dyDescent="0.25">
      <c r="A2" s="20"/>
      <c r="C2" s="5"/>
      <c r="D2" s="6"/>
      <c r="E2" s="7"/>
      <c r="F2" s="35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16"/>
      <c r="D4" s="17"/>
      <c r="E4" s="7"/>
      <c r="F4" s="35" t="s">
        <v>2</v>
      </c>
      <c r="G4" s="18"/>
      <c r="H4" s="19" t="s">
        <v>3</v>
      </c>
      <c r="I4" s="11"/>
    </row>
    <row r="5" spans="1:29" ht="10.5" hidden="1" customHeight="1" x14ac:dyDescent="0.25"/>
    <row r="6" spans="1:29" ht="22.5" hidden="1" x14ac:dyDescent="0.25">
      <c r="A6" s="120"/>
      <c r="B6" s="4" t="s">
        <v>4</v>
      </c>
      <c r="C6" s="16"/>
      <c r="D6" s="21">
        <f>A6</f>
        <v>0</v>
      </c>
      <c r="E6" s="22"/>
      <c r="F6" s="35" t="s">
        <v>5</v>
      </c>
      <c r="G6" s="35" t="s">
        <v>5</v>
      </c>
      <c r="H6" s="19" t="s">
        <v>6</v>
      </c>
      <c r="I6" s="11"/>
    </row>
    <row r="7" spans="1:29" s="2" customFormat="1" ht="11.25" hidden="1" x14ac:dyDescent="0.25">
      <c r="A7" s="120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22.5" hidden="1" x14ac:dyDescent="0.25">
      <c r="A8" s="120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20"/>
      <c r="C9" s="16"/>
      <c r="D9" s="21" t="str">
        <f>A6&amp;".2"</f>
        <v>.2</v>
      </c>
      <c r="E9" s="28" t="s">
        <v>10</v>
      </c>
      <c r="F9" s="35" t="s">
        <v>0</v>
      </c>
      <c r="G9" s="9"/>
      <c r="H9" s="19"/>
      <c r="I9" s="11"/>
    </row>
    <row r="10" spans="1:29" ht="18.75" hidden="1" x14ac:dyDescent="0.25">
      <c r="A10" s="120"/>
      <c r="C10" s="16"/>
      <c r="D10" s="21" t="str">
        <f>A6&amp;".3"</f>
        <v>.3</v>
      </c>
      <c r="E10" s="28" t="s">
        <v>11</v>
      </c>
      <c r="F10" s="35" t="s">
        <v>0</v>
      </c>
      <c r="G10" s="9"/>
      <c r="H10" s="19"/>
      <c r="I10" s="11"/>
    </row>
    <row r="11" spans="1:29" ht="18.75" hidden="1" x14ac:dyDescent="0.25">
      <c r="A11" s="120"/>
      <c r="C11" s="16"/>
      <c r="D11" s="21" t="str">
        <f>A6&amp;".4"</f>
        <v>.4</v>
      </c>
      <c r="E11" s="28" t="s">
        <v>12</v>
      </c>
      <c r="F11" s="35" t="s">
        <v>5</v>
      </c>
      <c r="G11" s="30"/>
      <c r="H11" s="19"/>
      <c r="I11" s="11"/>
    </row>
    <row r="12" spans="1:29" ht="10.5" hidden="1" customHeight="1" x14ac:dyDescent="0.25"/>
    <row r="13" spans="1:29" ht="22.5" hidden="1" x14ac:dyDescent="0.25">
      <c r="C13" s="16"/>
      <c r="D13" s="17"/>
      <c r="E13" s="7"/>
      <c r="F13" s="35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22.5" hidden="1" x14ac:dyDescent="0.25">
      <c r="C15" s="16"/>
      <c r="D15" s="17"/>
      <c r="E15" s="7"/>
      <c r="F15" s="35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18.75" hidden="1" x14ac:dyDescent="0.25">
      <c r="C17" s="16"/>
      <c r="D17" s="17"/>
      <c r="E17" s="7"/>
      <c r="F17" s="35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20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29" t="s">
        <v>18</v>
      </c>
      <c r="E21" s="130"/>
      <c r="F21" s="131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32" t="s">
        <v>19</v>
      </c>
      <c r="E24" s="132"/>
      <c r="F24" s="132"/>
      <c r="G24" s="132"/>
      <c r="H24" s="132" t="s">
        <v>20</v>
      </c>
    </row>
    <row r="25" spans="1:24" ht="112.5" x14ac:dyDescent="0.25">
      <c r="D25" s="132" t="s">
        <v>21</v>
      </c>
      <c r="E25" s="133" t="s">
        <v>22</v>
      </c>
      <c r="F25" s="133" t="s">
        <v>23</v>
      </c>
      <c r="G25" s="36" t="s">
        <v>301</v>
      </c>
      <c r="H25" s="132"/>
    </row>
    <row r="26" spans="1:24" ht="27.75" customHeight="1" x14ac:dyDescent="0.25">
      <c r="D26" s="132"/>
      <c r="E26" s="133"/>
      <c r="F26" s="133"/>
      <c r="G26" s="37" t="s">
        <v>25</v>
      </c>
      <c r="H26" s="132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33.75" x14ac:dyDescent="0.25">
      <c r="C28" s="16"/>
      <c r="D28" s="17" t="s">
        <v>26</v>
      </c>
      <c r="E28" s="40" t="s">
        <v>29</v>
      </c>
      <c r="F28" s="35" t="s">
        <v>5</v>
      </c>
      <c r="G28" s="41" t="str">
        <f>IF(buhg_flag="да",IF(dateBuhg="","Не указана",dateBuhg),"Не осуществлялась")</f>
        <v>25.03.2020</v>
      </c>
      <c r="H28" s="19" t="s">
        <v>30</v>
      </c>
      <c r="I28" s="11"/>
    </row>
    <row r="29" spans="1:24" ht="22.5" x14ac:dyDescent="0.25">
      <c r="C29" s="16"/>
      <c r="D29" s="17" t="s">
        <v>27</v>
      </c>
      <c r="E29" s="40" t="s">
        <v>31</v>
      </c>
      <c r="F29" s="35" t="s">
        <v>0</v>
      </c>
      <c r="G29" s="42">
        <f>9954.8+828.6</f>
        <v>10783.4</v>
      </c>
      <c r="H29" s="19" t="s">
        <v>32</v>
      </c>
      <c r="I29" s="11"/>
    </row>
    <row r="30" spans="1:24" ht="22.5" x14ac:dyDescent="0.25">
      <c r="C30" s="16"/>
      <c r="D30" s="17" t="s">
        <v>28</v>
      </c>
      <c r="E30" s="40" t="s">
        <v>33</v>
      </c>
      <c r="F30" s="35" t="s">
        <v>0</v>
      </c>
      <c r="G30" s="43">
        <f>SUM(G31:G32,G45,G48:G56,G59,G62,G66)</f>
        <v>13169.249466739693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35" t="s">
        <v>0</v>
      </c>
      <c r="G31" s="42">
        <v>0</v>
      </c>
      <c r="H31" s="19"/>
      <c r="I31" s="11"/>
    </row>
    <row r="32" spans="1:24" ht="18.75" x14ac:dyDescent="0.25">
      <c r="C32" s="16"/>
      <c r="D32" s="17" t="s">
        <v>37</v>
      </c>
      <c r="E32" s="44" t="s">
        <v>38</v>
      </c>
      <c r="F32" s="35" t="s">
        <v>0</v>
      </c>
      <c r="G32" s="43">
        <f>SUMIF($E33:$E44,$E7,G33:G44)</f>
        <v>6765.3587859396948</v>
      </c>
      <c r="H32" s="19" t="s">
        <v>39</v>
      </c>
      <c r="I32" s="11"/>
    </row>
    <row r="33" spans="1:29" s="53" customFormat="1" ht="5.25" hidden="1" x14ac:dyDescent="0.25">
      <c r="A33" s="119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19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19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19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19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ht="22.5" x14ac:dyDescent="0.25">
      <c r="A38" s="120" t="s">
        <v>41</v>
      </c>
      <c r="B38" s="4" t="s">
        <v>4</v>
      </c>
      <c r="C38" s="57" t="s">
        <v>42</v>
      </c>
      <c r="D38" s="17" t="str">
        <f>A38</f>
        <v>3.2.1</v>
      </c>
      <c r="E38" s="22" t="s">
        <v>43</v>
      </c>
      <c r="F38" s="35" t="s">
        <v>5</v>
      </c>
      <c r="G38" s="35" t="s">
        <v>5</v>
      </c>
      <c r="H38" s="19" t="s">
        <v>6</v>
      </c>
      <c r="I38" s="11"/>
    </row>
    <row r="39" spans="1:29" s="2" customFormat="1" ht="18.75" customHeight="1" x14ac:dyDescent="0.25">
      <c r="A39" s="120"/>
      <c r="C39" s="23" t="s">
        <v>44</v>
      </c>
      <c r="D39" s="24"/>
      <c r="E39" s="25" t="s">
        <v>7</v>
      </c>
      <c r="F39" s="26"/>
      <c r="G39" s="26">
        <f>G40*G41+G42</f>
        <v>6765.3587859396948</v>
      </c>
      <c r="H39" s="27"/>
      <c r="I39" s="4"/>
      <c r="K39" s="4"/>
      <c r="P39" s="4"/>
    </row>
    <row r="40" spans="1:29" ht="20.25" customHeight="1" x14ac:dyDescent="0.25">
      <c r="A40" s="120"/>
      <c r="C40" s="16" t="s">
        <v>44</v>
      </c>
      <c r="D40" s="21" t="str">
        <f>A38&amp;".1"</f>
        <v>3.2.1.1</v>
      </c>
      <c r="E40" s="28" t="s">
        <v>8</v>
      </c>
      <c r="F40" s="29" t="s">
        <v>45</v>
      </c>
      <c r="G40" s="9">
        <f>6873.943*21.38/100</f>
        <v>1469.6490134000001</v>
      </c>
      <c r="H40" s="19" t="s">
        <v>9</v>
      </c>
      <c r="I40" s="11"/>
    </row>
    <row r="41" spans="1:29" ht="18.75" x14ac:dyDescent="0.25">
      <c r="A41" s="120"/>
      <c r="C41" s="16" t="s">
        <v>44</v>
      </c>
      <c r="D41" s="21" t="str">
        <f>A38&amp;".2"</f>
        <v>3.2.1.2</v>
      </c>
      <c r="E41" s="28" t="s">
        <v>10</v>
      </c>
      <c r="F41" s="35" t="s">
        <v>0</v>
      </c>
      <c r="G41" s="9">
        <f>3.9427927128+0.1675</f>
        <v>4.1102927128000006</v>
      </c>
      <c r="H41" s="19"/>
      <c r="I41" s="11"/>
    </row>
    <row r="42" spans="1:29" ht="18.75" x14ac:dyDescent="0.25">
      <c r="A42" s="120"/>
      <c r="C42" s="16" t="s">
        <v>44</v>
      </c>
      <c r="D42" s="21" t="str">
        <f>A38&amp;".3"</f>
        <v>3.2.1.3</v>
      </c>
      <c r="E42" s="28" t="s">
        <v>11</v>
      </c>
      <c r="F42" s="35" t="s">
        <v>0</v>
      </c>
      <c r="G42" s="9">
        <f>0.493091309*G40</f>
        <v>724.67115578796449</v>
      </c>
      <c r="H42" s="19"/>
      <c r="I42" s="11"/>
    </row>
    <row r="43" spans="1:29" ht="18.75" x14ac:dyDescent="0.25">
      <c r="A43" s="120"/>
      <c r="C43" s="16" t="s">
        <v>44</v>
      </c>
      <c r="D43" s="21" t="str">
        <f>A38&amp;".4"</f>
        <v>3.2.1.4</v>
      </c>
      <c r="E43" s="28" t="s">
        <v>12</v>
      </c>
      <c r="F43" s="35" t="s">
        <v>5</v>
      </c>
      <c r="G43" s="30" t="s">
        <v>46</v>
      </c>
      <c r="H43" s="19"/>
      <c r="I43" s="11"/>
    </row>
    <row r="44" spans="1:29" s="2" customFormat="1" ht="18" customHeight="1" x14ac:dyDescent="0.25">
      <c r="A44" s="20"/>
      <c r="C44" s="58"/>
      <c r="D44" s="59"/>
      <c r="E44" s="60" t="s">
        <v>51</v>
      </c>
      <c r="F44" s="61"/>
      <c r="G44" s="62"/>
      <c r="H44" s="63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20"/>
      <c r="C45" s="64"/>
      <c r="D45" s="17" t="s">
        <v>52</v>
      </c>
      <c r="E45" s="44" t="s">
        <v>53</v>
      </c>
      <c r="F45" s="35" t="s">
        <v>0</v>
      </c>
      <c r="G45" s="42">
        <f>(5928.654+47.284)*21.38/100</f>
        <v>1277.6555443999998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18.75" x14ac:dyDescent="0.25">
      <c r="A46" s="20"/>
      <c r="C46" s="65"/>
      <c r="D46" s="17" t="s">
        <v>54</v>
      </c>
      <c r="E46" s="66" t="s">
        <v>55</v>
      </c>
      <c r="F46" s="35" t="s">
        <v>56</v>
      </c>
      <c r="G46" s="42">
        <f>G45/G47</f>
        <v>4.8982857461356746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18.75" x14ac:dyDescent="0.25">
      <c r="A47" s="20"/>
      <c r="C47" s="16"/>
      <c r="D47" s="17" t="s">
        <v>57</v>
      </c>
      <c r="E47" s="66" t="s">
        <v>58</v>
      </c>
      <c r="F47" s="35" t="s">
        <v>59</v>
      </c>
      <c r="G47" s="67">
        <f>(1211.835+8.171)*21.38/100</f>
        <v>260.83728279999997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20"/>
      <c r="C48" s="16"/>
      <c r="D48" s="17" t="s">
        <v>60</v>
      </c>
      <c r="E48" s="44" t="s">
        <v>61</v>
      </c>
      <c r="F48" s="35" t="s">
        <v>0</v>
      </c>
      <c r="G48" s="42">
        <f>(486.882+411.508+16.242+18.144+1.073+1.209)*21.38/100</f>
        <v>199.91540039999995</v>
      </c>
      <c r="H48" s="19"/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20"/>
      <c r="C49" s="16"/>
      <c r="D49" s="17" t="s">
        <v>62</v>
      </c>
      <c r="E49" s="44" t="s">
        <v>63</v>
      </c>
      <c r="F49" s="35" t="s">
        <v>0</v>
      </c>
      <c r="G49" s="42">
        <f>32.564*21.38/100</f>
        <v>6.9621831999999992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22.5" x14ac:dyDescent="0.25">
      <c r="A50" s="20"/>
      <c r="C50" s="65"/>
      <c r="D50" s="17" t="s">
        <v>64</v>
      </c>
      <c r="E50" s="44" t="s">
        <v>65</v>
      </c>
      <c r="F50" s="35" t="s">
        <v>0</v>
      </c>
      <c r="G50" s="42">
        <f>7712.109*21.38/100</f>
        <v>1648.8489042000001</v>
      </c>
      <c r="H50" s="19"/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 x14ac:dyDescent="0.25">
      <c r="A51" s="20"/>
      <c r="C51" s="16"/>
      <c r="D51" s="17" t="s">
        <v>66</v>
      </c>
      <c r="E51" s="44" t="s">
        <v>67</v>
      </c>
      <c r="F51" s="35" t="s">
        <v>0</v>
      </c>
      <c r="G51" s="42">
        <f>2357.038*21.38/100</f>
        <v>503.93472439999999</v>
      </c>
      <c r="H51" s="19"/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 x14ac:dyDescent="0.25">
      <c r="A52" s="20"/>
      <c r="C52" s="65"/>
      <c r="D52" s="17" t="s">
        <v>68</v>
      </c>
      <c r="E52" s="44" t="s">
        <v>69</v>
      </c>
      <c r="F52" s="35" t="s">
        <v>0</v>
      </c>
      <c r="G52" s="42">
        <f>5958.712*21.38/100</f>
        <v>1273.9726256000001</v>
      </c>
      <c r="H52" s="19"/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 x14ac:dyDescent="0.25">
      <c r="A53" s="20"/>
      <c r="C53" s="16"/>
      <c r="D53" s="17" t="s">
        <v>70</v>
      </c>
      <c r="E53" s="44" t="s">
        <v>71</v>
      </c>
      <c r="F53" s="35" t="s">
        <v>0</v>
      </c>
      <c r="G53" s="42">
        <f>1841.928*21.38/100</f>
        <v>393.80420640000006</v>
      </c>
      <c r="H53" s="19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20"/>
      <c r="C54" s="16"/>
      <c r="D54" s="17" t="s">
        <v>72</v>
      </c>
      <c r="E54" s="44" t="s">
        <v>73</v>
      </c>
      <c r="F54" s="35" t="s">
        <v>0</v>
      </c>
      <c r="G54" s="42">
        <f>(183.926+3.265+60.903)*21.38/100</f>
        <v>53.042497199999985</v>
      </c>
      <c r="H54" s="19"/>
      <c r="I54" s="11"/>
      <c r="K54" s="68"/>
      <c r="L54" s="3"/>
      <c r="M54" s="3"/>
      <c r="P54" s="4"/>
      <c r="S54" s="12"/>
      <c r="Y54" s="13"/>
      <c r="Z54" s="13"/>
      <c r="AA54" s="13"/>
      <c r="AB54" s="13"/>
      <c r="AC54" s="13"/>
    </row>
    <row r="55" spans="1:29" s="2" customFormat="1" ht="22.5" x14ac:dyDescent="0.25">
      <c r="A55" s="20"/>
      <c r="C55" s="16"/>
      <c r="D55" s="17" t="s">
        <v>74</v>
      </c>
      <c r="E55" s="44" t="s">
        <v>75</v>
      </c>
      <c r="F55" s="35" t="s">
        <v>0</v>
      </c>
      <c r="G55" s="42">
        <v>0</v>
      </c>
      <c r="H55" s="19"/>
      <c r="I55" s="11"/>
      <c r="K55" s="68"/>
      <c r="L55" s="3"/>
      <c r="M55" s="3"/>
      <c r="P55" s="4"/>
      <c r="S55" s="12"/>
      <c r="Y55" s="13"/>
      <c r="Z55" s="13"/>
      <c r="AA55" s="13"/>
      <c r="AB55" s="13"/>
      <c r="AC55" s="13"/>
    </row>
    <row r="56" spans="1:29" s="2" customFormat="1" ht="18.75" x14ac:dyDescent="0.25">
      <c r="A56" s="20"/>
      <c r="C56" s="16"/>
      <c r="D56" s="17" t="s">
        <v>76</v>
      </c>
      <c r="E56" s="44" t="s">
        <v>77</v>
      </c>
      <c r="F56" s="35" t="s">
        <v>0</v>
      </c>
      <c r="G56" s="42">
        <v>0</v>
      </c>
      <c r="H56" s="19" t="s">
        <v>78</v>
      </c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18.75" x14ac:dyDescent="0.25">
      <c r="A57" s="20"/>
      <c r="C57" s="16"/>
      <c r="D57" s="17" t="s">
        <v>79</v>
      </c>
      <c r="E57" s="66" t="s">
        <v>80</v>
      </c>
      <c r="F57" s="35" t="s">
        <v>0</v>
      </c>
      <c r="G57" s="42">
        <v>0</v>
      </c>
      <c r="H57" s="19" t="s">
        <v>81</v>
      </c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18.75" x14ac:dyDescent="0.25">
      <c r="A58" s="20"/>
      <c r="C58" s="16"/>
      <c r="D58" s="17" t="s">
        <v>82</v>
      </c>
      <c r="E58" s="66" t="s">
        <v>83</v>
      </c>
      <c r="F58" s="35" t="s">
        <v>0</v>
      </c>
      <c r="G58" s="42">
        <v>0</v>
      </c>
      <c r="H58" s="19" t="s">
        <v>84</v>
      </c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18.75" x14ac:dyDescent="0.25">
      <c r="A59" s="20"/>
      <c r="C59" s="16"/>
      <c r="D59" s="17" t="s">
        <v>85</v>
      </c>
      <c r="E59" s="44" t="s">
        <v>86</v>
      </c>
      <c r="F59" s="35" t="s">
        <v>0</v>
      </c>
      <c r="G59" s="42">
        <v>0</v>
      </c>
      <c r="H59" s="19" t="s">
        <v>87</v>
      </c>
      <c r="I59" s="11"/>
      <c r="K59" s="4"/>
      <c r="P59" s="4"/>
      <c r="S59" s="12"/>
      <c r="Y59" s="13"/>
      <c r="Z59" s="13"/>
      <c r="AA59" s="13"/>
      <c r="AB59" s="13"/>
      <c r="AC59" s="13"/>
    </row>
    <row r="60" spans="1:29" s="2" customFormat="1" ht="18.75" x14ac:dyDescent="0.25">
      <c r="A60" s="20"/>
      <c r="C60" s="16"/>
      <c r="D60" s="17" t="s">
        <v>88</v>
      </c>
      <c r="E60" s="66" t="s">
        <v>80</v>
      </c>
      <c r="F60" s="35" t="s">
        <v>0</v>
      </c>
      <c r="G60" s="42">
        <v>0</v>
      </c>
      <c r="H60" s="19" t="s">
        <v>89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18.75" x14ac:dyDescent="0.25">
      <c r="A61" s="20"/>
      <c r="C61" s="16"/>
      <c r="D61" s="17" t="s">
        <v>90</v>
      </c>
      <c r="E61" s="66" t="s">
        <v>83</v>
      </c>
      <c r="F61" s="35" t="s">
        <v>0</v>
      </c>
      <c r="G61" s="42">
        <v>0</v>
      </c>
      <c r="H61" s="19" t="s">
        <v>91</v>
      </c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22.5" x14ac:dyDescent="0.25">
      <c r="A62" s="20"/>
      <c r="C62" s="16"/>
      <c r="D62" s="121" t="s">
        <v>92</v>
      </c>
      <c r="E62" s="44" t="s">
        <v>93</v>
      </c>
      <c r="F62" s="123" t="s">
        <v>0</v>
      </c>
      <c r="G62" s="42">
        <f>(1362.343+56.19+308.333)*21.38/100</f>
        <v>369.20395080000003</v>
      </c>
      <c r="H62" s="19"/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45" x14ac:dyDescent="0.25">
      <c r="A63" s="20"/>
      <c r="C63" s="16"/>
      <c r="D63" s="122"/>
      <c r="E63" s="66" t="s">
        <v>94</v>
      </c>
      <c r="F63" s="124"/>
      <c r="G63" s="69" t="s">
        <v>95</v>
      </c>
      <c r="H63" s="19"/>
      <c r="I63" s="11"/>
      <c r="K63" s="4" t="e">
        <f ca="1">nerr(MATCH("есть",List01_flag_index_1,0))</f>
        <v>#NAME?</v>
      </c>
      <c r="P63" s="4"/>
      <c r="S63" s="12"/>
      <c r="Y63" s="13"/>
      <c r="Z63" s="13"/>
      <c r="AA63" s="13"/>
      <c r="AB63" s="13"/>
      <c r="AC63" s="13"/>
    </row>
    <row r="64" spans="1:29" s="4" customFormat="1" ht="5.25" hidden="1" x14ac:dyDescent="0.25">
      <c r="A64" s="70"/>
      <c r="C64" s="45"/>
      <c r="D64" s="125"/>
      <c r="E64" s="71"/>
      <c r="F64" s="127"/>
      <c r="G64" s="56"/>
      <c r="H64" s="50"/>
      <c r="S64" s="51"/>
      <c r="Y64" s="52"/>
      <c r="Z64" s="52"/>
      <c r="AA64" s="52"/>
      <c r="AB64" s="52"/>
      <c r="AC64" s="52"/>
    </row>
    <row r="65" spans="1:29" s="4" customFormat="1" ht="5.25" hidden="1" x14ac:dyDescent="0.25">
      <c r="A65" s="70"/>
      <c r="C65" s="45"/>
      <c r="D65" s="126"/>
      <c r="E65" s="72"/>
      <c r="F65" s="128"/>
      <c r="G65" s="73" t="s">
        <v>95</v>
      </c>
      <c r="H65" s="50"/>
      <c r="K65" s="4" t="e">
        <f ca="1">nerr(MATCH("есть",List01_flag_index_2,0))</f>
        <v>#NAME?</v>
      </c>
      <c r="S65" s="51"/>
      <c r="Y65" s="52"/>
      <c r="Z65" s="52"/>
      <c r="AA65" s="52"/>
      <c r="AB65" s="52"/>
      <c r="AC65" s="52"/>
    </row>
    <row r="66" spans="1:29" s="2" customFormat="1" ht="22.5" x14ac:dyDescent="0.25">
      <c r="A66" s="20"/>
      <c r="C66" s="16"/>
      <c r="D66" s="74" t="s">
        <v>96</v>
      </c>
      <c r="E66" s="75" t="s">
        <v>97</v>
      </c>
      <c r="F66" s="76" t="s">
        <v>0</v>
      </c>
      <c r="G66" s="77">
        <f>SUM(G67:G70)</f>
        <v>676.55064419999997</v>
      </c>
      <c r="H66" s="19" t="s">
        <v>98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18.75" hidden="1" x14ac:dyDescent="0.25">
      <c r="A67" s="20"/>
      <c r="C67" s="16"/>
      <c r="D67" s="6" t="s">
        <v>99</v>
      </c>
      <c r="E67" s="66"/>
      <c r="F67" s="35"/>
      <c r="G67" s="78"/>
      <c r="H67" s="7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22.5" x14ac:dyDescent="0.25">
      <c r="A68" s="20"/>
      <c r="C68" s="57" t="s">
        <v>42</v>
      </c>
      <c r="D68" s="6" t="s">
        <v>100</v>
      </c>
      <c r="E68" s="80" t="s">
        <v>101</v>
      </c>
      <c r="F68" s="35" t="s">
        <v>0</v>
      </c>
      <c r="G68" s="9">
        <f>(102.997+219.98)*21.38/100</f>
        <v>69.05248259999999</v>
      </c>
      <c r="H68" s="10" t="s">
        <v>1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22.5" x14ac:dyDescent="0.25">
      <c r="A69" s="20"/>
      <c r="C69" s="57" t="s">
        <v>42</v>
      </c>
      <c r="D69" s="6" t="s">
        <v>102</v>
      </c>
      <c r="E69" s="81" t="s">
        <v>103</v>
      </c>
      <c r="F69" s="35" t="s">
        <v>0</v>
      </c>
      <c r="G69" s="9">
        <f>2841.432*21.38/100</f>
        <v>607.4981616</v>
      </c>
      <c r="H69" s="10" t="s">
        <v>1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18.75" x14ac:dyDescent="0.25">
      <c r="A70" s="20"/>
      <c r="C70" s="58"/>
      <c r="D70" s="59"/>
      <c r="E70" s="60" t="s">
        <v>104</v>
      </c>
      <c r="F70" s="61"/>
      <c r="G70" s="62"/>
      <c r="H70" s="63"/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20"/>
      <c r="C71" s="16"/>
      <c r="D71" s="17" t="s">
        <v>105</v>
      </c>
      <c r="E71" s="40" t="s">
        <v>106</v>
      </c>
      <c r="F71" s="35" t="s">
        <v>0</v>
      </c>
      <c r="G71" s="42">
        <f>G29-G30</f>
        <v>-2385.8494667396935</v>
      </c>
      <c r="H71" s="19"/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20"/>
      <c r="C72" s="65"/>
      <c r="D72" s="17" t="s">
        <v>107</v>
      </c>
      <c r="E72" s="40" t="s">
        <v>108</v>
      </c>
      <c r="F72" s="35" t="s">
        <v>0</v>
      </c>
      <c r="G72" s="42">
        <v>0</v>
      </c>
      <c r="H72" s="19" t="s">
        <v>109</v>
      </c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33.75" x14ac:dyDescent="0.25">
      <c r="A73" s="20"/>
      <c r="C73" s="16"/>
      <c r="D73" s="17" t="s">
        <v>110</v>
      </c>
      <c r="E73" s="44" t="s">
        <v>111</v>
      </c>
      <c r="F73" s="35" t="s">
        <v>0</v>
      </c>
      <c r="G73" s="42">
        <v>0</v>
      </c>
      <c r="H73" s="19"/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18.75" x14ac:dyDescent="0.25">
      <c r="A74" s="20"/>
      <c r="C74" s="16"/>
      <c r="D74" s="17" t="s">
        <v>112</v>
      </c>
      <c r="E74" s="40" t="s">
        <v>113</v>
      </c>
      <c r="F74" s="35" t="s">
        <v>0</v>
      </c>
      <c r="G74" s="42">
        <f>G75+G78</f>
        <v>-10.048599999999997</v>
      </c>
      <c r="H74" s="19" t="s">
        <v>114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2" customFormat="1" ht="22.5" x14ac:dyDescent="0.25">
      <c r="A75" s="20"/>
      <c r="C75" s="16"/>
      <c r="D75" s="17" t="s">
        <v>115</v>
      </c>
      <c r="E75" s="44" t="s">
        <v>116</v>
      </c>
      <c r="F75" s="35" t="s">
        <v>0</v>
      </c>
      <c r="G75" s="42">
        <f>G76+G77</f>
        <v>-10.048599999999997</v>
      </c>
      <c r="H75" s="19" t="s">
        <v>117</v>
      </c>
      <c r="I75" s="11"/>
      <c r="K75" s="4"/>
      <c r="P75" s="4"/>
      <c r="S75" s="12"/>
      <c r="Y75" s="13"/>
      <c r="Z75" s="13"/>
      <c r="AA75" s="13"/>
      <c r="AB75" s="13"/>
      <c r="AC75" s="13"/>
    </row>
    <row r="76" spans="1:29" s="2" customFormat="1" ht="22.5" x14ac:dyDescent="0.25">
      <c r="A76" s="20"/>
      <c r="C76" s="16"/>
      <c r="D76" s="17" t="s">
        <v>118</v>
      </c>
      <c r="E76" s="66" t="s">
        <v>119</v>
      </c>
      <c r="F76" s="35" t="s">
        <v>0</v>
      </c>
      <c r="G76" s="42">
        <f>108*21.38/100</f>
        <v>23.090399999999999</v>
      </c>
      <c r="H76" s="19" t="s">
        <v>120</v>
      </c>
      <c r="I76" s="11"/>
      <c r="K76" s="4"/>
      <c r="P76" s="4"/>
      <c r="S76" s="12"/>
      <c r="Y76" s="13"/>
      <c r="Z76" s="13"/>
      <c r="AA76" s="13"/>
      <c r="AB76" s="13"/>
      <c r="AC76" s="13"/>
    </row>
    <row r="77" spans="1:29" s="2" customFormat="1" ht="22.5" x14ac:dyDescent="0.25">
      <c r="A77" s="20"/>
      <c r="C77" s="16"/>
      <c r="D77" s="17" t="s">
        <v>121</v>
      </c>
      <c r="E77" s="66" t="s">
        <v>122</v>
      </c>
      <c r="F77" s="35" t="s">
        <v>0</v>
      </c>
      <c r="G77" s="42">
        <f>-155*21.38/100</f>
        <v>-33.138999999999996</v>
      </c>
      <c r="H77" s="19" t="s">
        <v>123</v>
      </c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22.5" x14ac:dyDescent="0.25">
      <c r="A78" s="20"/>
      <c r="C78" s="16"/>
      <c r="D78" s="17" t="s">
        <v>124</v>
      </c>
      <c r="E78" s="44" t="s">
        <v>125</v>
      </c>
      <c r="F78" s="35" t="s">
        <v>0</v>
      </c>
      <c r="G78" s="42">
        <v>0</v>
      </c>
      <c r="H78" s="19"/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33.75" x14ac:dyDescent="0.25">
      <c r="A79" s="20"/>
      <c r="C79" s="16"/>
      <c r="D79" s="17" t="s">
        <v>126</v>
      </c>
      <c r="E79" s="40" t="s">
        <v>127</v>
      </c>
      <c r="F79" s="35" t="s">
        <v>128</v>
      </c>
      <c r="G79" s="82" t="s">
        <v>129</v>
      </c>
      <c r="H79" s="19" t="s">
        <v>130</v>
      </c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45" x14ac:dyDescent="0.25">
      <c r="A80" s="20"/>
      <c r="C80" s="16"/>
      <c r="D80" s="17" t="s">
        <v>131</v>
      </c>
      <c r="E80" s="40" t="s">
        <v>132</v>
      </c>
      <c r="F80" s="35" t="s">
        <v>16</v>
      </c>
      <c r="G80" s="42">
        <v>89.98</v>
      </c>
      <c r="H80" s="19" t="s">
        <v>133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53" customFormat="1" ht="5.25" hidden="1" x14ac:dyDescent="0.25">
      <c r="A81" s="70"/>
      <c r="B81" s="4"/>
      <c r="C81" s="45"/>
      <c r="D81" s="83" t="s">
        <v>134</v>
      </c>
      <c r="E81" s="84"/>
      <c r="F81" s="85"/>
      <c r="G81" s="86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51"/>
      <c r="T81" s="4"/>
      <c r="U81" s="4"/>
      <c r="V81" s="4"/>
      <c r="W81" s="4"/>
      <c r="X81" s="4"/>
      <c r="Y81" s="52"/>
      <c r="Z81" s="52"/>
      <c r="AA81" s="52"/>
      <c r="AB81" s="52"/>
      <c r="AC81" s="52"/>
    </row>
    <row r="82" spans="1:29" ht="22.5" x14ac:dyDescent="0.25">
      <c r="C82" s="58"/>
      <c r="D82" s="59"/>
      <c r="E82" s="89" t="s">
        <v>175</v>
      </c>
      <c r="F82" s="61"/>
      <c r="G82" s="62"/>
      <c r="H82" s="90" t="s">
        <v>176</v>
      </c>
      <c r="I82" s="11"/>
    </row>
    <row r="83" spans="1:29" s="2" customFormat="1" ht="22.5" x14ac:dyDescent="0.25">
      <c r="A83" s="20"/>
      <c r="C83" s="16"/>
      <c r="D83" s="17" t="s">
        <v>177</v>
      </c>
      <c r="E83" s="44" t="s">
        <v>178</v>
      </c>
      <c r="F83" s="35" t="s">
        <v>16</v>
      </c>
      <c r="G83" s="42">
        <v>4.0693999999999999</v>
      </c>
      <c r="H83" s="19" t="s">
        <v>179</v>
      </c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22.5" x14ac:dyDescent="0.25">
      <c r="A84" s="20"/>
      <c r="C84" s="16"/>
      <c r="D84" s="17" t="s">
        <v>180</v>
      </c>
      <c r="E84" s="44" t="s">
        <v>181</v>
      </c>
      <c r="F84" s="35" t="s">
        <v>182</v>
      </c>
      <c r="G84" s="67">
        <v>10.7</v>
      </c>
      <c r="H84" s="19" t="s">
        <v>183</v>
      </c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18.75" x14ac:dyDescent="0.25">
      <c r="A85" s="20"/>
      <c r="C85" s="16"/>
      <c r="D85" s="17" t="s">
        <v>184</v>
      </c>
      <c r="E85" s="44" t="s">
        <v>185</v>
      </c>
      <c r="F85" s="35" t="s">
        <v>182</v>
      </c>
      <c r="G85" s="18"/>
      <c r="H85" s="19" t="s">
        <v>186</v>
      </c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33.75" x14ac:dyDescent="0.25">
      <c r="A86" s="20"/>
      <c r="C86" s="16"/>
      <c r="D86" s="17" t="s">
        <v>187</v>
      </c>
      <c r="E86" s="44" t="s">
        <v>188</v>
      </c>
      <c r="F86" s="35" t="s">
        <v>182</v>
      </c>
      <c r="G86" s="67">
        <v>9.4260000000000002</v>
      </c>
      <c r="H86" s="19" t="s">
        <v>189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s="2" customFormat="1" ht="18.75" x14ac:dyDescent="0.25">
      <c r="A87" s="20"/>
      <c r="C87" s="16"/>
      <c r="D87" s="17" t="s">
        <v>190</v>
      </c>
      <c r="E87" s="66" t="s">
        <v>191</v>
      </c>
      <c r="F87" s="35" t="s">
        <v>182</v>
      </c>
      <c r="G87" s="67">
        <v>0</v>
      </c>
      <c r="H87" s="19"/>
      <c r="I87" s="11"/>
      <c r="K87" s="4"/>
      <c r="P87" s="4"/>
      <c r="S87" s="12"/>
      <c r="Y87" s="13"/>
      <c r="Z87" s="13"/>
      <c r="AA87" s="13"/>
      <c r="AB87" s="13"/>
      <c r="AC87" s="13"/>
    </row>
    <row r="88" spans="1:29" s="2" customFormat="1" ht="45" x14ac:dyDescent="0.25">
      <c r="A88" s="20"/>
      <c r="C88" s="16"/>
      <c r="D88" s="17" t="s">
        <v>192</v>
      </c>
      <c r="E88" s="28" t="s">
        <v>193</v>
      </c>
      <c r="F88" s="35" t="s">
        <v>182</v>
      </c>
      <c r="G88" s="67">
        <v>0</v>
      </c>
      <c r="H88" s="19"/>
      <c r="I88" s="11"/>
      <c r="K88" s="4"/>
      <c r="P88" s="4"/>
      <c r="S88" s="12"/>
      <c r="Y88" s="13"/>
      <c r="Z88" s="13"/>
      <c r="AA88" s="13"/>
      <c r="AB88" s="13"/>
      <c r="AC88" s="13"/>
    </row>
    <row r="89" spans="1:29" s="2" customFormat="1" ht="22.5" x14ac:dyDescent="0.25">
      <c r="A89" s="20"/>
      <c r="C89" s="16"/>
      <c r="D89" s="17" t="s">
        <v>194</v>
      </c>
      <c r="E89" s="44" t="s">
        <v>195</v>
      </c>
      <c r="F89" s="35" t="s">
        <v>182</v>
      </c>
      <c r="G89" s="67">
        <v>0</v>
      </c>
      <c r="H89" s="19"/>
      <c r="I89" s="11"/>
      <c r="K89" s="4"/>
      <c r="P89" s="4"/>
      <c r="S89" s="12"/>
      <c r="Y89" s="13"/>
      <c r="Z89" s="13"/>
      <c r="AA89" s="13"/>
      <c r="AB89" s="13"/>
      <c r="AC89" s="13"/>
    </row>
    <row r="90" spans="1:29" s="2" customFormat="1" ht="22.5" x14ac:dyDescent="0.25">
      <c r="A90" s="20"/>
      <c r="C90" s="16"/>
      <c r="D90" s="17" t="s">
        <v>196</v>
      </c>
      <c r="E90" s="40" t="s">
        <v>197</v>
      </c>
      <c r="F90" s="35" t="s">
        <v>198</v>
      </c>
      <c r="G90" s="42">
        <v>0</v>
      </c>
      <c r="H90" s="19"/>
      <c r="I90" s="11"/>
      <c r="K90" s="4"/>
      <c r="P90" s="4"/>
      <c r="S90" s="12"/>
      <c r="Y90" s="13"/>
      <c r="Z90" s="13"/>
      <c r="AA90" s="13"/>
      <c r="AB90" s="13"/>
      <c r="AC90" s="13"/>
    </row>
    <row r="91" spans="1:29" s="2" customFormat="1" ht="22.5" x14ac:dyDescent="0.25">
      <c r="A91" s="20"/>
      <c r="C91" s="16"/>
      <c r="D91" s="17" t="s">
        <v>199</v>
      </c>
      <c r="E91" s="40" t="s">
        <v>200</v>
      </c>
      <c r="F91" s="35" t="s">
        <v>201</v>
      </c>
      <c r="G91" s="42">
        <v>0</v>
      </c>
      <c r="H91" s="19"/>
      <c r="I91" s="11"/>
      <c r="K91" s="4"/>
      <c r="P91" s="4"/>
      <c r="S91" s="12"/>
      <c r="Y91" s="13"/>
      <c r="Z91" s="13"/>
      <c r="AA91" s="13"/>
      <c r="AB91" s="13"/>
      <c r="AC91" s="13"/>
    </row>
    <row r="92" spans="1:29" s="2" customFormat="1" ht="22.5" x14ac:dyDescent="0.25">
      <c r="A92" s="20"/>
      <c r="C92" s="16"/>
      <c r="D92" s="17" t="s">
        <v>202</v>
      </c>
      <c r="E92" s="44" t="s">
        <v>203</v>
      </c>
      <c r="F92" s="35" t="s">
        <v>201</v>
      </c>
      <c r="G92" s="42">
        <v>0</v>
      </c>
      <c r="H92" s="19" t="s">
        <v>204</v>
      </c>
      <c r="I92" s="11"/>
      <c r="K92" s="4"/>
      <c r="P92" s="4"/>
      <c r="S92" s="12"/>
      <c r="Y92" s="13"/>
      <c r="Z92" s="13"/>
      <c r="AA92" s="13"/>
      <c r="AB92" s="13"/>
      <c r="AC92" s="13"/>
    </row>
    <row r="93" spans="1:29" ht="22.5" x14ac:dyDescent="0.25">
      <c r="C93" s="16"/>
      <c r="D93" s="17" t="s">
        <v>205</v>
      </c>
      <c r="E93" s="40" t="s">
        <v>206</v>
      </c>
      <c r="F93" s="35" t="s">
        <v>207</v>
      </c>
      <c r="G93" s="42">
        <v>7</v>
      </c>
      <c r="H93" s="19"/>
      <c r="I93" s="11"/>
    </row>
    <row r="94" spans="1:29" ht="22.5" x14ac:dyDescent="0.25">
      <c r="C94" s="16"/>
      <c r="D94" s="17" t="s">
        <v>208</v>
      </c>
      <c r="E94" s="40" t="s">
        <v>209</v>
      </c>
      <c r="F94" s="35" t="s">
        <v>207</v>
      </c>
      <c r="G94" s="42">
        <v>3</v>
      </c>
      <c r="H94" s="19"/>
      <c r="I94" s="11"/>
    </row>
    <row r="95" spans="1:29" ht="56.25" x14ac:dyDescent="0.25">
      <c r="C95" s="16"/>
      <c r="D95" s="17" t="s">
        <v>210</v>
      </c>
      <c r="E95" s="40" t="s">
        <v>211</v>
      </c>
      <c r="F95" s="35" t="s">
        <v>2</v>
      </c>
      <c r="G95" s="67">
        <v>159.30000000000001</v>
      </c>
      <c r="H95" s="19" t="s">
        <v>212</v>
      </c>
      <c r="I95" s="11"/>
    </row>
    <row r="96" spans="1:29" s="53" customFormat="1" ht="5.25" hidden="1" x14ac:dyDescent="0.25">
      <c r="A96" s="70"/>
      <c r="B96" s="4"/>
      <c r="C96" s="45"/>
      <c r="D96" s="91" t="s">
        <v>213</v>
      </c>
      <c r="E96" s="92"/>
      <c r="F96" s="85"/>
      <c r="G96" s="86"/>
      <c r="H96" s="87"/>
      <c r="I96" s="4"/>
      <c r="J96" s="4"/>
      <c r="K96" s="4"/>
      <c r="L96" s="4"/>
      <c r="M96" s="4"/>
      <c r="N96" s="4"/>
      <c r="O96" s="4"/>
      <c r="P96" s="4"/>
      <c r="Q96" s="4"/>
      <c r="R96" s="4"/>
      <c r="S96" s="51"/>
      <c r="T96" s="4"/>
      <c r="U96" s="4"/>
      <c r="V96" s="4"/>
      <c r="W96" s="4"/>
      <c r="X96" s="4"/>
      <c r="Y96" s="52"/>
      <c r="Z96" s="52"/>
      <c r="AA96" s="52"/>
      <c r="AB96" s="52"/>
      <c r="AC96" s="52"/>
    </row>
    <row r="97" spans="1:29" ht="22.5" x14ac:dyDescent="0.25">
      <c r="C97" s="58"/>
      <c r="D97" s="59"/>
      <c r="E97" s="89" t="s">
        <v>175</v>
      </c>
      <c r="F97" s="61"/>
      <c r="G97" s="62"/>
      <c r="H97" s="90" t="s">
        <v>234</v>
      </c>
      <c r="I97" s="11"/>
    </row>
    <row r="98" spans="1:29" ht="45" x14ac:dyDescent="0.25">
      <c r="C98" s="16"/>
      <c r="D98" s="17" t="s">
        <v>235</v>
      </c>
      <c r="E98" s="40" t="s">
        <v>236</v>
      </c>
      <c r="F98" s="35" t="s">
        <v>13</v>
      </c>
      <c r="G98" s="67">
        <v>159.30000000000001</v>
      </c>
      <c r="H98" s="19" t="s">
        <v>237</v>
      </c>
      <c r="I98" s="11"/>
    </row>
    <row r="99" spans="1:29" s="53" customFormat="1" ht="5.25" hidden="1" x14ac:dyDescent="0.25">
      <c r="A99" s="70"/>
      <c r="B99" s="4"/>
      <c r="C99" s="45"/>
      <c r="D99" s="83" t="s">
        <v>238</v>
      </c>
      <c r="E99" s="84"/>
      <c r="F99" s="85"/>
      <c r="G99" s="86"/>
      <c r="H99" s="87"/>
      <c r="I99" s="4"/>
      <c r="J99" s="4"/>
      <c r="K99" s="4"/>
      <c r="L99" s="4"/>
      <c r="M99" s="4"/>
      <c r="N99" s="4"/>
      <c r="O99" s="4"/>
      <c r="P99" s="4"/>
      <c r="Q99" s="4"/>
      <c r="R99" s="4"/>
      <c r="S99" s="51"/>
      <c r="T99" s="4"/>
      <c r="U99" s="4"/>
      <c r="V99" s="4"/>
      <c r="W99" s="4"/>
      <c r="X99" s="4"/>
      <c r="Y99" s="52"/>
      <c r="Z99" s="52"/>
      <c r="AA99" s="52"/>
      <c r="AB99" s="52"/>
      <c r="AC99" s="52"/>
    </row>
    <row r="100" spans="1:29" ht="22.5" x14ac:dyDescent="0.25">
      <c r="C100" s="58"/>
      <c r="D100" s="59"/>
      <c r="E100" s="89" t="s">
        <v>175</v>
      </c>
      <c r="F100" s="61"/>
      <c r="G100" s="62"/>
      <c r="H100" s="90" t="s">
        <v>259</v>
      </c>
      <c r="I100" s="11"/>
    </row>
    <row r="101" spans="1:29" ht="33.75" x14ac:dyDescent="0.25">
      <c r="C101" s="16"/>
      <c r="D101" s="17" t="s">
        <v>260</v>
      </c>
      <c r="E101" s="40" t="s">
        <v>261</v>
      </c>
      <c r="F101" s="35" t="s">
        <v>13</v>
      </c>
      <c r="G101" s="67">
        <v>159.30000000000001</v>
      </c>
      <c r="H101" s="19" t="s">
        <v>262</v>
      </c>
      <c r="I101" s="11"/>
    </row>
    <row r="102" spans="1:29" s="53" customFormat="1" ht="5.25" hidden="1" x14ac:dyDescent="0.25">
      <c r="A102" s="70"/>
      <c r="B102" s="4"/>
      <c r="C102" s="45"/>
      <c r="D102" s="83" t="s">
        <v>263</v>
      </c>
      <c r="E102" s="84"/>
      <c r="F102" s="85"/>
      <c r="G102" s="86"/>
      <c r="H102" s="8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51"/>
      <c r="T102" s="4"/>
      <c r="U102" s="4"/>
      <c r="V102" s="4"/>
      <c r="W102" s="4"/>
      <c r="X102" s="4"/>
      <c r="Y102" s="52"/>
      <c r="Z102" s="52"/>
      <c r="AA102" s="52"/>
      <c r="AB102" s="52"/>
      <c r="AC102" s="52"/>
    </row>
    <row r="103" spans="1:29" ht="22.5" x14ac:dyDescent="0.25">
      <c r="C103" s="58"/>
      <c r="D103" s="59"/>
      <c r="E103" s="89" t="s">
        <v>175</v>
      </c>
      <c r="F103" s="61"/>
      <c r="G103" s="62"/>
      <c r="H103" s="90" t="s">
        <v>284</v>
      </c>
      <c r="I103" s="11"/>
    </row>
    <row r="104" spans="1:29" ht="33.75" x14ac:dyDescent="0.25">
      <c r="C104" s="16"/>
      <c r="D104" s="17" t="s">
        <v>285</v>
      </c>
      <c r="E104" s="40" t="s">
        <v>286</v>
      </c>
      <c r="F104" s="35" t="s">
        <v>287</v>
      </c>
      <c r="G104" s="42">
        <v>2.5600000000000001E-2</v>
      </c>
      <c r="H104" s="19" t="s">
        <v>288</v>
      </c>
      <c r="I104" s="11"/>
    </row>
    <row r="105" spans="1:29" ht="33.75" x14ac:dyDescent="0.25">
      <c r="C105" s="16"/>
      <c r="D105" s="17" t="s">
        <v>289</v>
      </c>
      <c r="E105" s="40" t="s">
        <v>290</v>
      </c>
      <c r="F105" s="35" t="s">
        <v>291</v>
      </c>
      <c r="G105" s="42">
        <v>0.53</v>
      </c>
      <c r="H105" s="19" t="s">
        <v>288</v>
      </c>
      <c r="I105" s="11"/>
    </row>
    <row r="106" spans="1:29" ht="67.5" x14ac:dyDescent="0.25">
      <c r="C106" s="16"/>
      <c r="D106" s="17" t="s">
        <v>292</v>
      </c>
      <c r="E106" s="40" t="s">
        <v>293</v>
      </c>
      <c r="F106" s="35" t="s">
        <v>128</v>
      </c>
      <c r="G106" s="93"/>
      <c r="H106" s="19" t="s">
        <v>294</v>
      </c>
      <c r="I106" s="11"/>
    </row>
    <row r="107" spans="1:29" ht="22.5" x14ac:dyDescent="0.25">
      <c r="C107" s="16"/>
      <c r="D107" s="17" t="s">
        <v>295</v>
      </c>
      <c r="E107" s="44" t="s">
        <v>296</v>
      </c>
      <c r="F107" s="35" t="s">
        <v>128</v>
      </c>
      <c r="G107" s="93"/>
      <c r="H107" s="19" t="s">
        <v>294</v>
      </c>
      <c r="I107" s="11"/>
    </row>
    <row r="108" spans="1:29" ht="22.5" x14ac:dyDescent="0.25">
      <c r="C108" s="16"/>
      <c r="D108" s="17" t="s">
        <v>297</v>
      </c>
      <c r="E108" s="44" t="s">
        <v>298</v>
      </c>
      <c r="F108" s="35" t="s">
        <v>128</v>
      </c>
      <c r="G108" s="93"/>
      <c r="H108" s="19" t="s">
        <v>294</v>
      </c>
      <c r="I108" s="11"/>
    </row>
    <row r="109" spans="1:29" s="53" customFormat="1" ht="5.25" hidden="1" x14ac:dyDescent="0.25">
      <c r="A109" s="70"/>
      <c r="B109" s="4"/>
      <c r="C109" s="45"/>
      <c r="D109" s="94"/>
      <c r="E109" s="95"/>
      <c r="F109" s="96"/>
      <c r="G109" s="97"/>
      <c r="H109" s="9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51"/>
      <c r="T109" s="4"/>
      <c r="U109" s="4"/>
      <c r="V109" s="4"/>
      <c r="W109" s="4"/>
      <c r="X109" s="4"/>
      <c r="Y109" s="52"/>
      <c r="Z109" s="52"/>
      <c r="AA109" s="52"/>
      <c r="AB109" s="52"/>
      <c r="AC109" s="52"/>
    </row>
    <row r="110" spans="1:29" ht="10.5" customHeight="1" x14ac:dyDescent="0.25">
      <c r="C110" s="16"/>
    </row>
    <row r="111" spans="1:29" ht="12.75" x14ac:dyDescent="0.25">
      <c r="C111" s="16"/>
      <c r="D111" s="98">
        <v>1</v>
      </c>
      <c r="E111" s="118" t="s">
        <v>299</v>
      </c>
      <c r="F111" s="118"/>
      <c r="G111" s="118"/>
      <c r="H111" s="99"/>
    </row>
    <row r="112" spans="1:29" s="53" customFormat="1" ht="11.25" x14ac:dyDescent="0.25">
      <c r="A112" s="70"/>
      <c r="B112" s="4"/>
      <c r="C112" s="100"/>
      <c r="E112" s="101" t="s">
        <v>300</v>
      </c>
      <c r="F112" s="15"/>
      <c r="G112" s="1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52"/>
      <c r="AA112" s="52"/>
      <c r="AB112" s="52"/>
      <c r="AC112" s="52"/>
    </row>
    <row r="113" spans="1:29" s="53" customFormat="1" ht="10.5" customHeight="1" x14ac:dyDescent="0.25">
      <c r="A113" s="70"/>
      <c r="B113" s="4"/>
      <c r="C113" s="100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52"/>
      <c r="AA113" s="52"/>
      <c r="AB113" s="52"/>
      <c r="AC113" s="52"/>
    </row>
    <row r="114" spans="1:29" s="53" customFormat="1" ht="10.5" customHeight="1" x14ac:dyDescent="0.25">
      <c r="A114" s="70"/>
      <c r="B114" s="4"/>
      <c r="C114" s="100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52"/>
      <c r="AA114" s="52"/>
      <c r="AB114" s="52"/>
      <c r="AC114" s="52"/>
    </row>
    <row r="115" spans="1:29" s="53" customFormat="1" ht="10.5" customHeight="1" x14ac:dyDescent="0.25">
      <c r="A115" s="70"/>
      <c r="B115" s="4"/>
      <c r="C115" s="100"/>
      <c r="G115" s="52" t="str">
        <f>IF(G29-G30 &lt;&gt;G71,"WARNING","")</f>
        <v/>
      </c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52"/>
      <c r="AA115" s="52"/>
      <c r="AB115" s="52"/>
      <c r="AC115" s="52"/>
    </row>
    <row r="116" spans="1:29" s="53" customFormat="1" ht="10.5" customHeight="1" x14ac:dyDescent="0.25">
      <c r="A116" s="70"/>
      <c r="B116" s="4"/>
      <c r="C116" s="100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52"/>
      <c r="AA116" s="52"/>
      <c r="AB116" s="52"/>
      <c r="AC116" s="52"/>
    </row>
    <row r="117" spans="1:29" s="53" customFormat="1" ht="10.5" customHeight="1" x14ac:dyDescent="0.25">
      <c r="A117" s="70"/>
      <c r="B117" s="4"/>
      <c r="C117" s="100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52"/>
      <c r="AA117" s="52"/>
      <c r="AB117" s="52"/>
      <c r="AC117" s="52"/>
    </row>
    <row r="118" spans="1:29" s="53" customFormat="1" ht="10.5" customHeight="1" x14ac:dyDescent="0.25">
      <c r="A118" s="70"/>
      <c r="B118" s="4"/>
      <c r="C118" s="100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52"/>
      <c r="AA118" s="52"/>
      <c r="AB118" s="52"/>
      <c r="AC118" s="52"/>
    </row>
    <row r="119" spans="1:29" s="53" customFormat="1" ht="10.5" customHeight="1" x14ac:dyDescent="0.25">
      <c r="A119" s="70"/>
      <c r="B119" s="4"/>
      <c r="C119" s="100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52"/>
      <c r="AA119" s="52"/>
      <c r="AB119" s="52"/>
      <c r="AC119" s="52"/>
    </row>
    <row r="120" spans="1:29" s="53" customFormat="1" ht="10.5" customHeight="1" x14ac:dyDescent="0.25">
      <c r="A120" s="70"/>
      <c r="B120" s="4"/>
      <c r="C120" s="100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52"/>
      <c r="AA120" s="52"/>
      <c r="AB120" s="52"/>
      <c r="AC120" s="52"/>
    </row>
    <row r="121" spans="1:29" s="53" customFormat="1" ht="10.5" customHeight="1" x14ac:dyDescent="0.25">
      <c r="A121" s="70"/>
      <c r="B121" s="4"/>
      <c r="C121" s="100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52"/>
      <c r="AA121" s="52"/>
      <c r="AB121" s="52"/>
      <c r="AC121" s="52"/>
    </row>
    <row r="122" spans="1:29" s="53" customFormat="1" ht="10.5" customHeight="1" x14ac:dyDescent="0.25">
      <c r="A122" s="70"/>
      <c r="B122" s="4"/>
      <c r="C122" s="100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52"/>
      <c r="AA122" s="52"/>
      <c r="AB122" s="52"/>
      <c r="AC122" s="52"/>
    </row>
    <row r="123" spans="1:29" s="53" customFormat="1" ht="10.5" customHeight="1" x14ac:dyDescent="0.25">
      <c r="A123" s="70"/>
      <c r="B123" s="4"/>
      <c r="C123" s="100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52"/>
      <c r="AA123" s="52"/>
      <c r="AB123" s="52"/>
      <c r="AC123" s="52"/>
    </row>
    <row r="124" spans="1:29" s="53" customFormat="1" ht="10.5" customHeight="1" x14ac:dyDescent="0.25">
      <c r="A124" s="70"/>
      <c r="B124" s="4"/>
      <c r="C124" s="100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70"/>
      <c r="B125" s="4"/>
      <c r="C125" s="100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70"/>
      <c r="B126" s="4"/>
      <c r="C126" s="100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70"/>
      <c r="B127" s="4"/>
      <c r="C127" s="100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70"/>
      <c r="B128" s="4"/>
      <c r="C128" s="100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70"/>
      <c r="B129" s="4"/>
      <c r="C129" s="100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70"/>
      <c r="B130" s="4"/>
      <c r="C130" s="100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70"/>
      <c r="B131" s="4"/>
      <c r="C131" s="100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70"/>
      <c r="B132" s="4"/>
      <c r="C132" s="100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70"/>
      <c r="B133" s="4"/>
      <c r="C133" s="100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70"/>
      <c r="B134" s="4"/>
      <c r="C134" s="100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70"/>
      <c r="B135" s="4"/>
      <c r="C135" s="100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70"/>
      <c r="B136" s="4"/>
      <c r="C136" s="100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70"/>
      <c r="B137" s="4"/>
      <c r="C137" s="100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70"/>
      <c r="B138" s="4"/>
      <c r="C138" s="100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70"/>
      <c r="B139" s="4"/>
      <c r="C139" s="100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70"/>
      <c r="B140" s="4"/>
      <c r="C140" s="100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70"/>
      <c r="B141" s="4"/>
      <c r="C141" s="100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70"/>
      <c r="B142" s="4"/>
      <c r="C142" s="100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70"/>
      <c r="B143" s="4"/>
      <c r="C143" s="100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70"/>
      <c r="B144" s="4"/>
      <c r="C144" s="100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70"/>
      <c r="B145" s="4"/>
      <c r="C145" s="100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70"/>
      <c r="B146" s="4"/>
      <c r="C146" s="100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70"/>
      <c r="B147" s="4"/>
      <c r="C147" s="100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70"/>
      <c r="B148" s="4"/>
      <c r="C148" s="100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70"/>
      <c r="B149" s="4"/>
      <c r="C149" s="100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70"/>
      <c r="B150" s="4"/>
      <c r="C150" s="100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70"/>
      <c r="B151" s="4"/>
      <c r="C151" s="100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70"/>
      <c r="B152" s="4"/>
      <c r="C152" s="100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70"/>
      <c r="B153" s="4"/>
      <c r="C153" s="100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70"/>
      <c r="B154" s="4"/>
      <c r="C154" s="100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70"/>
      <c r="B155" s="4"/>
      <c r="C155" s="100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70"/>
      <c r="B156" s="4"/>
      <c r="C156" s="100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70"/>
      <c r="B157" s="4"/>
      <c r="C157" s="100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70"/>
      <c r="B158" s="4"/>
      <c r="C158" s="100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70"/>
      <c r="B159" s="4"/>
      <c r="C159" s="100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70"/>
      <c r="B160" s="4"/>
      <c r="C160" s="100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70"/>
      <c r="B161" s="4"/>
      <c r="C161" s="100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70"/>
      <c r="B162" s="4"/>
      <c r="C162" s="100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70"/>
      <c r="B163" s="4"/>
      <c r="C163" s="100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70"/>
      <c r="B164" s="4"/>
      <c r="C164" s="100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70"/>
      <c r="B165" s="4"/>
      <c r="C165" s="100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70"/>
      <c r="B166" s="4"/>
      <c r="C166" s="100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70"/>
      <c r="B167" s="4"/>
      <c r="C167" s="100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70"/>
      <c r="B168" s="4"/>
      <c r="C168" s="100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70"/>
      <c r="B169" s="4"/>
      <c r="C169" s="100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70"/>
      <c r="B170" s="4"/>
      <c r="C170" s="100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70"/>
      <c r="B171" s="4"/>
      <c r="C171" s="100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70"/>
      <c r="B172" s="4"/>
      <c r="C172" s="100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70"/>
      <c r="B173" s="4"/>
      <c r="C173" s="100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70"/>
      <c r="B174" s="4"/>
      <c r="C174" s="100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70"/>
      <c r="B175" s="4"/>
      <c r="C175" s="100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70"/>
      <c r="B176" s="4"/>
      <c r="C176" s="100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70"/>
      <c r="B177" s="4"/>
      <c r="C177" s="100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70"/>
      <c r="B178" s="4"/>
      <c r="C178" s="100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70"/>
      <c r="B179" s="4"/>
      <c r="C179" s="100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70"/>
      <c r="B180" s="4"/>
      <c r="C180" s="100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70"/>
      <c r="B181" s="4"/>
      <c r="C181" s="100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70"/>
      <c r="B182" s="4"/>
      <c r="C182" s="100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70"/>
      <c r="B183" s="4"/>
      <c r="C183" s="100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70"/>
      <c r="B184" s="4"/>
      <c r="C184" s="100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70"/>
      <c r="B185" s="4"/>
      <c r="C185" s="100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70"/>
      <c r="B186" s="4"/>
      <c r="C186" s="100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70"/>
      <c r="B187" s="4"/>
      <c r="C187" s="100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70"/>
      <c r="B188" s="4"/>
      <c r="C188" s="100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70"/>
      <c r="B189" s="4"/>
      <c r="C189" s="100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70"/>
      <c r="B190" s="4"/>
      <c r="C190" s="100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70"/>
      <c r="B191" s="4"/>
      <c r="C191" s="100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70"/>
      <c r="B192" s="4"/>
      <c r="C192" s="100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70"/>
      <c r="B193" s="4"/>
      <c r="C193" s="100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70"/>
      <c r="B194" s="4"/>
      <c r="C194" s="100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70"/>
      <c r="B195" s="4"/>
      <c r="C195" s="100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70"/>
      <c r="B196" s="4"/>
      <c r="C196" s="100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70"/>
      <c r="B197" s="4"/>
      <c r="C197" s="100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70"/>
      <c r="B198" s="4"/>
      <c r="C198" s="100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70"/>
      <c r="B199" s="4"/>
      <c r="C199" s="100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70"/>
      <c r="B200" s="4"/>
      <c r="C200" s="100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70"/>
      <c r="B201" s="4"/>
      <c r="C201" s="100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70"/>
      <c r="B202" s="4"/>
      <c r="C202" s="100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70"/>
      <c r="B203" s="4"/>
      <c r="C203" s="100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70"/>
      <c r="B204" s="4"/>
      <c r="C204" s="100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70"/>
      <c r="B205" s="4"/>
      <c r="C205" s="100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70"/>
      <c r="B206" s="4"/>
      <c r="C206" s="100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70"/>
      <c r="B207" s="4"/>
      <c r="C207" s="100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70"/>
      <c r="B208" s="4"/>
      <c r="C208" s="100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70"/>
      <c r="B209" s="4"/>
      <c r="C209" s="100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70"/>
      <c r="B210" s="4"/>
      <c r="C210" s="100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100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100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100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100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100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100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100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100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100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100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100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100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100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100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100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100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100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100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100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100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100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100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100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100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100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100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100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100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100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100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100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100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100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100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100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100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100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100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100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100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100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100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100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100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100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100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100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100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100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100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100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70"/>
      <c r="B262" s="4"/>
      <c r="C262" s="100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70"/>
      <c r="B263" s="4"/>
      <c r="C263" s="100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70"/>
      <c r="B264" s="4"/>
      <c r="C264" s="100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70"/>
      <c r="B265" s="4"/>
      <c r="C265" s="100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70"/>
      <c r="B266" s="4"/>
      <c r="C266" s="100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70"/>
      <c r="B267" s="4"/>
      <c r="C267" s="100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71" spans="1:29" ht="10.5" customHeight="1" x14ac:dyDescent="0.25">
      <c r="A271" s="15"/>
      <c r="B271" s="15"/>
      <c r="C271" s="15"/>
      <c r="I271" s="15"/>
      <c r="J271" s="15"/>
      <c r="L271" s="15"/>
      <c r="M271" s="15"/>
      <c r="N271" s="15"/>
      <c r="O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ht="10.5" customHeight="1" x14ac:dyDescent="0.25">
      <c r="A272" s="15"/>
      <c r="B272" s="15"/>
      <c r="C272" s="15"/>
      <c r="I272" s="15"/>
      <c r="J272" s="15"/>
      <c r="L272" s="15"/>
      <c r="M272" s="15"/>
      <c r="N272" s="15"/>
      <c r="O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spans="1:29" ht="10.5" customHeight="1" x14ac:dyDescent="0.25">
      <c r="A273" s="15"/>
      <c r="B273" s="15"/>
      <c r="C273" s="15"/>
      <c r="I273" s="15"/>
      <c r="J273" s="15"/>
      <c r="L273" s="15"/>
      <c r="M273" s="15"/>
      <c r="N273" s="15"/>
      <c r="O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spans="1:29" ht="10.5" customHeight="1" x14ac:dyDescent="0.25">
      <c r="A274" s="15"/>
      <c r="B274" s="15"/>
      <c r="C274" s="15"/>
      <c r="I274" s="15"/>
      <c r="J274" s="15"/>
      <c r="L274" s="15"/>
      <c r="M274" s="15"/>
      <c r="N274" s="15"/>
      <c r="O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0.5" customHeight="1" x14ac:dyDescent="0.25">
      <c r="A275" s="15"/>
      <c r="B275" s="15"/>
      <c r="C275" s="15"/>
      <c r="I275" s="15"/>
      <c r="J275" s="15"/>
      <c r="L275" s="15"/>
      <c r="M275" s="15"/>
      <c r="N275" s="15"/>
      <c r="O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  <row r="276" spans="1:29" ht="10.5" customHeight="1" x14ac:dyDescent="0.25">
      <c r="A276" s="15"/>
      <c r="B276" s="15"/>
      <c r="C276" s="15"/>
      <c r="I276" s="15"/>
      <c r="J276" s="15"/>
      <c r="L276" s="15"/>
      <c r="M276" s="15"/>
      <c r="N276" s="15"/>
      <c r="O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</row>
    <row r="277" spans="1:29" ht="10.5" customHeight="1" x14ac:dyDescent="0.25">
      <c r="A277" s="15"/>
      <c r="B277" s="15"/>
      <c r="C277" s="15"/>
      <c r="I277" s="15"/>
      <c r="J277" s="15"/>
      <c r="L277" s="15"/>
      <c r="M277" s="15"/>
      <c r="N277" s="15"/>
      <c r="O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</row>
    <row r="278" spans="1:29" ht="10.5" customHeight="1" x14ac:dyDescent="0.25">
      <c r="A278" s="15"/>
      <c r="B278" s="15"/>
      <c r="C278" s="15"/>
      <c r="I278" s="15"/>
      <c r="J278" s="15"/>
      <c r="L278" s="15"/>
      <c r="M278" s="15"/>
      <c r="N278" s="15"/>
      <c r="O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</row>
    <row r="279" spans="1:29" ht="10.5" customHeight="1" x14ac:dyDescent="0.25">
      <c r="A279" s="15"/>
      <c r="B279" s="15"/>
      <c r="C279" s="15"/>
      <c r="I279" s="15"/>
      <c r="J279" s="15"/>
      <c r="L279" s="15"/>
      <c r="M279" s="15"/>
      <c r="N279" s="15"/>
      <c r="O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spans="1:29" ht="10.5" customHeight="1" x14ac:dyDescent="0.25">
      <c r="A280" s="15"/>
      <c r="B280" s="15"/>
      <c r="C280" s="15"/>
      <c r="I280" s="15"/>
      <c r="J280" s="15"/>
      <c r="L280" s="15"/>
      <c r="M280" s="15"/>
      <c r="N280" s="15"/>
      <c r="O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</row>
    <row r="281" spans="1:29" ht="10.5" customHeight="1" x14ac:dyDescent="0.25">
      <c r="A281" s="15"/>
      <c r="B281" s="15"/>
      <c r="C281" s="15"/>
      <c r="I281" s="15"/>
      <c r="J281" s="15"/>
      <c r="L281" s="15"/>
      <c r="M281" s="15"/>
      <c r="N281" s="15"/>
      <c r="O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</row>
  </sheetData>
  <sheetProtection algorithmName="SHA-512" hashValue="ng6yYB6fS5HoR25iJECZUlaXo6YvsU1Zsh0IJ4sqa8+5E6fni/HpQXFdcTxDsFRDrxIDjexrjqQO6vfNSitfYg==" saltValue="HoWSEyZJFEKGJKbwTr2K6A==" spinCount="100000" sheet="1" objects="1" scenarios="1" formatColumns="0" formatRows="0"/>
  <dataConsolidate link="1"/>
  <mergeCells count="14">
    <mergeCell ref="E111:G111"/>
    <mergeCell ref="A33:A37"/>
    <mergeCell ref="A38:A43"/>
    <mergeCell ref="D62:D63"/>
    <mergeCell ref="F62:F63"/>
    <mergeCell ref="D64:D65"/>
    <mergeCell ref="F64:F65"/>
    <mergeCell ref="A6:A11"/>
    <mergeCell ref="D21:F21"/>
    <mergeCell ref="D24:G24"/>
    <mergeCell ref="H24:H26"/>
    <mergeCell ref="D25:D26"/>
    <mergeCell ref="E25:E26"/>
    <mergeCell ref="F25:F26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 G43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3 G65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9 G106:G108">
      <formula1>900</formula1>
    </dataValidation>
    <dataValidation type="decimal" allowBlank="1" showErrorMessage="1" errorTitle="Ошибка" error="Допускается ввод только действительных чисел!" sqref="G71:G7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7 E68:E69">
      <formula1>900</formula1>
    </dataValidation>
    <dataValidation type="decimal" allowBlank="1" showErrorMessage="1" errorTitle="Ошибка" error="Допускается ввод только действительных чисел!" sqref="G74:G78 G104:G105 G90:G95 G98 G101 G17 G83 G8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09 G33 F8 G37 F40">
      <formula1>900</formula1>
    </dataValidation>
    <dataValidation type="decimal" allowBlank="1" showErrorMessage="1" errorTitle="Ошибка" error="Допускается ввод только неотрицательных чисел!" sqref="G29 G64 G66 G73 G2 G34:G36 G45:G62 G31 G8:G10 G4 G13 G84:G89 G15 G40:G42 G68:G69">
      <formula1>0</formula1>
      <formula2>9.99999999999999E+23</formula2>
    </dataValidation>
  </dataValidations>
  <hyperlinks>
    <hyperlink ref="G79" location="'Форма 4.3.1'!$G$79" tooltip="Кликните по гиперссылке, чтобы перейти по гиперссылке или отредактировать её" display="https://portal.eias.ru/Portal/DownloadPage.aspx?type=12&amp;guid=3637cd45-32ed-4c02-8eb3-188e9b9ea6e3"/>
  </hyperlinks>
  <printOptions horizontalCentered="1" verticalCentered="1"/>
  <pageMargins left="0" right="0" top="0" bottom="0" header="0" footer="0.78740157480314965"/>
  <pageSetup paperSize="9" scale="51" fitToHeight="0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2">
    <pageSetUpPr fitToPage="1"/>
  </sheetPr>
  <dimension ref="A1:AC281"/>
  <sheetViews>
    <sheetView showGridLines="0" topLeftCell="C56" zoomScaleNormal="100" workbookViewId="0">
      <selection activeCell="G87" sqref="G87"/>
    </sheetView>
  </sheetViews>
  <sheetFormatPr defaultRowHeight="10.5" customHeight="1" x14ac:dyDescent="0.25"/>
  <cols>
    <col min="1" max="1" width="19.140625" style="20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20"/>
      <c r="C1" s="3"/>
      <c r="G1" s="2">
        <v>4</v>
      </c>
      <c r="K1" s="4"/>
      <c r="P1" s="4"/>
    </row>
    <row r="2" spans="1:29" s="2" customFormat="1" ht="22.5" hidden="1" x14ac:dyDescent="0.25">
      <c r="A2" s="20"/>
      <c r="C2" s="5"/>
      <c r="D2" s="6"/>
      <c r="E2" s="7"/>
      <c r="F2" s="35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16"/>
      <c r="D4" s="17"/>
      <c r="E4" s="7"/>
      <c r="F4" s="35" t="s">
        <v>2</v>
      </c>
      <c r="G4" s="18"/>
      <c r="H4" s="19" t="s">
        <v>3</v>
      </c>
      <c r="I4" s="11"/>
    </row>
    <row r="5" spans="1:29" ht="10.5" hidden="1" customHeight="1" x14ac:dyDescent="0.25"/>
    <row r="6" spans="1:29" ht="22.5" hidden="1" x14ac:dyDescent="0.25">
      <c r="A6" s="120"/>
      <c r="B6" s="4" t="s">
        <v>4</v>
      </c>
      <c r="C6" s="16"/>
      <c r="D6" s="21">
        <f>A6</f>
        <v>0</v>
      </c>
      <c r="E6" s="22"/>
      <c r="F6" s="35" t="s">
        <v>5</v>
      </c>
      <c r="G6" s="35" t="s">
        <v>5</v>
      </c>
      <c r="H6" s="19" t="s">
        <v>6</v>
      </c>
      <c r="I6" s="11"/>
    </row>
    <row r="7" spans="1:29" s="2" customFormat="1" ht="11.25" hidden="1" x14ac:dyDescent="0.25">
      <c r="A7" s="120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22.5" hidden="1" x14ac:dyDescent="0.25">
      <c r="A8" s="120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20"/>
      <c r="C9" s="16"/>
      <c r="D9" s="21" t="str">
        <f>A6&amp;".2"</f>
        <v>.2</v>
      </c>
      <c r="E9" s="28" t="s">
        <v>10</v>
      </c>
      <c r="F9" s="35" t="s">
        <v>0</v>
      </c>
      <c r="G9" s="9"/>
      <c r="H9" s="19"/>
      <c r="I9" s="11"/>
    </row>
    <row r="10" spans="1:29" ht="18.75" hidden="1" x14ac:dyDescent="0.25">
      <c r="A10" s="120"/>
      <c r="C10" s="16"/>
      <c r="D10" s="21" t="str">
        <f>A6&amp;".3"</f>
        <v>.3</v>
      </c>
      <c r="E10" s="28" t="s">
        <v>11</v>
      </c>
      <c r="F10" s="35" t="s">
        <v>0</v>
      </c>
      <c r="G10" s="9"/>
      <c r="H10" s="19"/>
      <c r="I10" s="11"/>
    </row>
    <row r="11" spans="1:29" ht="18.75" hidden="1" x14ac:dyDescent="0.25">
      <c r="A11" s="120"/>
      <c r="C11" s="16"/>
      <c r="D11" s="21" t="str">
        <f>A6&amp;".4"</f>
        <v>.4</v>
      </c>
      <c r="E11" s="28" t="s">
        <v>12</v>
      </c>
      <c r="F11" s="35" t="s">
        <v>5</v>
      </c>
      <c r="G11" s="30"/>
      <c r="H11" s="19"/>
      <c r="I11" s="11"/>
    </row>
    <row r="12" spans="1:29" ht="10.5" hidden="1" customHeight="1" x14ac:dyDescent="0.25"/>
    <row r="13" spans="1:29" ht="22.5" hidden="1" x14ac:dyDescent="0.25">
      <c r="C13" s="16"/>
      <c r="D13" s="17"/>
      <c r="E13" s="7"/>
      <c r="F13" s="35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22.5" hidden="1" x14ac:dyDescent="0.25">
      <c r="C15" s="16"/>
      <c r="D15" s="17"/>
      <c r="E15" s="7"/>
      <c r="F15" s="35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18.75" hidden="1" x14ac:dyDescent="0.25">
      <c r="C17" s="16"/>
      <c r="D17" s="17"/>
      <c r="E17" s="7"/>
      <c r="F17" s="35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20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29" t="s">
        <v>18</v>
      </c>
      <c r="E21" s="130"/>
      <c r="F21" s="131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32" t="s">
        <v>19</v>
      </c>
      <c r="E24" s="132"/>
      <c r="F24" s="132"/>
      <c r="G24" s="132"/>
      <c r="H24" s="132" t="s">
        <v>20</v>
      </c>
    </row>
    <row r="25" spans="1:24" ht="112.5" x14ac:dyDescent="0.25">
      <c r="D25" s="132" t="s">
        <v>21</v>
      </c>
      <c r="E25" s="133" t="s">
        <v>22</v>
      </c>
      <c r="F25" s="133" t="s">
        <v>23</v>
      </c>
      <c r="G25" s="36" t="s">
        <v>302</v>
      </c>
      <c r="H25" s="132"/>
    </row>
    <row r="26" spans="1:24" ht="21" customHeight="1" x14ac:dyDescent="0.25">
      <c r="D26" s="132"/>
      <c r="E26" s="133"/>
      <c r="F26" s="133"/>
      <c r="G26" s="37" t="s">
        <v>25</v>
      </c>
      <c r="H26" s="132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33.75" x14ac:dyDescent="0.25">
      <c r="C28" s="16"/>
      <c r="D28" s="17" t="s">
        <v>26</v>
      </c>
      <c r="E28" s="40" t="s">
        <v>29</v>
      </c>
      <c r="F28" s="35" t="s">
        <v>5</v>
      </c>
      <c r="G28" s="41" t="str">
        <f>IF(buhg_flag="да",IF(dateBuhg="","Не указана",dateBuhg),"Не осуществлялась")</f>
        <v>25.03.2020</v>
      </c>
      <c r="H28" s="19" t="s">
        <v>30</v>
      </c>
      <c r="I28" s="11"/>
    </row>
    <row r="29" spans="1:24" ht="22.5" x14ac:dyDescent="0.25">
      <c r="C29" s="16"/>
      <c r="D29" s="17" t="s">
        <v>27</v>
      </c>
      <c r="E29" s="40" t="s">
        <v>31</v>
      </c>
      <c r="F29" s="35" t="s">
        <v>0</v>
      </c>
      <c r="G29" s="42">
        <v>3791.5</v>
      </c>
      <c r="H29" s="19" t="s">
        <v>32</v>
      </c>
      <c r="I29" s="11"/>
    </row>
    <row r="30" spans="1:24" ht="22.5" x14ac:dyDescent="0.25">
      <c r="C30" s="16"/>
      <c r="D30" s="17" t="s">
        <v>28</v>
      </c>
      <c r="E30" s="40" t="s">
        <v>33</v>
      </c>
      <c r="F30" s="35" t="s">
        <v>0</v>
      </c>
      <c r="G30" s="43">
        <f>SUM(G31:G32,G45,G48:G56,G59,G62,G66)</f>
        <v>5449.9114833024696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35" t="s">
        <v>0</v>
      </c>
      <c r="G31" s="42">
        <v>0</v>
      </c>
      <c r="H31" s="19"/>
      <c r="I31" s="11"/>
    </row>
    <row r="32" spans="1:24" ht="18.75" x14ac:dyDescent="0.25">
      <c r="C32" s="16"/>
      <c r="D32" s="17" t="s">
        <v>37</v>
      </c>
      <c r="E32" s="44" t="s">
        <v>38</v>
      </c>
      <c r="F32" s="35" t="s">
        <v>0</v>
      </c>
      <c r="G32" s="43">
        <f>SUMIF($E33:$E44,$E7,G33:G44)</f>
        <v>1309.0694833024691</v>
      </c>
      <c r="H32" s="19" t="s">
        <v>39</v>
      </c>
      <c r="I32" s="11"/>
    </row>
    <row r="33" spans="1:29" s="53" customFormat="1" ht="5.25" hidden="1" x14ac:dyDescent="0.25">
      <c r="A33" s="119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19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19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19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19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ht="22.5" x14ac:dyDescent="0.25">
      <c r="A38" s="120" t="s">
        <v>41</v>
      </c>
      <c r="B38" s="4" t="s">
        <v>4</v>
      </c>
      <c r="C38" s="57" t="s">
        <v>42</v>
      </c>
      <c r="D38" s="17" t="str">
        <f>A38</f>
        <v>3.2.1</v>
      </c>
      <c r="E38" s="22" t="s">
        <v>43</v>
      </c>
      <c r="F38" s="35" t="s">
        <v>5</v>
      </c>
      <c r="G38" s="35" t="s">
        <v>5</v>
      </c>
      <c r="H38" s="19" t="s">
        <v>6</v>
      </c>
      <c r="I38" s="11"/>
    </row>
    <row r="39" spans="1:29" s="2" customFormat="1" ht="11.25" hidden="1" x14ac:dyDescent="0.25">
      <c r="A39" s="120"/>
      <c r="C39" s="23" t="s">
        <v>44</v>
      </c>
      <c r="D39" s="24"/>
      <c r="E39" s="25" t="s">
        <v>7</v>
      </c>
      <c r="F39" s="26"/>
      <c r="G39" s="26">
        <f>G40*G41+G42</f>
        <v>1309.0694833024691</v>
      </c>
      <c r="H39" s="27"/>
      <c r="I39" s="4"/>
      <c r="K39" s="4"/>
      <c r="P39" s="4"/>
    </row>
    <row r="40" spans="1:29" ht="22.5" x14ac:dyDescent="0.25">
      <c r="A40" s="120"/>
      <c r="C40" s="16" t="s">
        <v>44</v>
      </c>
      <c r="D40" s="21" t="str">
        <f>A38&amp;".1"</f>
        <v>3.2.1.1</v>
      </c>
      <c r="E40" s="28" t="s">
        <v>8</v>
      </c>
      <c r="F40" s="29" t="s">
        <v>45</v>
      </c>
      <c r="G40" s="9">
        <v>269.09300000000002</v>
      </c>
      <c r="H40" s="19" t="s">
        <v>9</v>
      </c>
      <c r="I40" s="11"/>
    </row>
    <row r="41" spans="1:29" ht="18.75" x14ac:dyDescent="0.25">
      <c r="A41" s="120"/>
      <c r="C41" s="16" t="s">
        <v>44</v>
      </c>
      <c r="D41" s="21" t="str">
        <f>A38&amp;".2"</f>
        <v>3.2.1.2</v>
      </c>
      <c r="E41" s="28" t="s">
        <v>10</v>
      </c>
      <c r="F41" s="35" t="s">
        <v>0</v>
      </c>
      <c r="G41" s="9">
        <f>4.1761858125+0.16994</f>
        <v>4.3461258125000004</v>
      </c>
      <c r="H41" s="19"/>
      <c r="I41" s="11"/>
    </row>
    <row r="42" spans="1:29" ht="18.75" x14ac:dyDescent="0.25">
      <c r="A42" s="120"/>
      <c r="C42" s="16" t="s">
        <v>44</v>
      </c>
      <c r="D42" s="21" t="str">
        <f>A38&amp;".3"</f>
        <v>3.2.1.3</v>
      </c>
      <c r="E42" s="28" t="s">
        <v>11</v>
      </c>
      <c r="F42" s="35" t="s">
        <v>0</v>
      </c>
      <c r="G42" s="9">
        <f>0.5186216291*G40</f>
        <v>139.55745003940629</v>
      </c>
      <c r="H42" s="19"/>
      <c r="I42" s="11"/>
    </row>
    <row r="43" spans="1:29" ht="18.75" x14ac:dyDescent="0.25">
      <c r="A43" s="120"/>
      <c r="C43" s="16" t="s">
        <v>44</v>
      </c>
      <c r="D43" s="21" t="str">
        <f>A38&amp;".4"</f>
        <v>3.2.1.4</v>
      </c>
      <c r="E43" s="28" t="s">
        <v>12</v>
      </c>
      <c r="F43" s="35" t="s">
        <v>5</v>
      </c>
      <c r="G43" s="30" t="s">
        <v>46</v>
      </c>
      <c r="H43" s="19"/>
      <c r="I43" s="11"/>
    </row>
    <row r="44" spans="1:29" s="2" customFormat="1" ht="18" customHeight="1" x14ac:dyDescent="0.25">
      <c r="A44" s="20"/>
      <c r="C44" s="58"/>
      <c r="D44" s="59"/>
      <c r="E44" s="60" t="s">
        <v>51</v>
      </c>
      <c r="F44" s="61"/>
      <c r="G44" s="62"/>
      <c r="H44" s="63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20"/>
      <c r="C45" s="64"/>
      <c r="D45" s="17" t="s">
        <v>52</v>
      </c>
      <c r="E45" s="44" t="s">
        <v>53</v>
      </c>
      <c r="F45" s="35" t="s">
        <v>0</v>
      </c>
      <c r="G45" s="42">
        <f>630.301+5.822</f>
        <v>636.12300000000005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18.75" x14ac:dyDescent="0.25">
      <c r="A46" s="20"/>
      <c r="C46" s="65"/>
      <c r="D46" s="17" t="s">
        <v>54</v>
      </c>
      <c r="E46" s="66" t="s">
        <v>55</v>
      </c>
      <c r="F46" s="35" t="s">
        <v>56</v>
      </c>
      <c r="G46" s="42">
        <f>G45/G47</f>
        <v>5.7498485985194288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18.75" x14ac:dyDescent="0.25">
      <c r="A47" s="20"/>
      <c r="C47" s="16"/>
      <c r="D47" s="17" t="s">
        <v>57</v>
      </c>
      <c r="E47" s="66" t="s">
        <v>58</v>
      </c>
      <c r="F47" s="35" t="s">
        <v>59</v>
      </c>
      <c r="G47" s="67">
        <f>109.644+0.989</f>
        <v>110.63300000000001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20"/>
      <c r="C48" s="16"/>
      <c r="D48" s="17" t="s">
        <v>60</v>
      </c>
      <c r="E48" s="44" t="s">
        <v>61</v>
      </c>
      <c r="F48" s="35" t="s">
        <v>0</v>
      </c>
      <c r="G48" s="42">
        <f>0+0+1.255+1.413+0.13+0.149</f>
        <v>2.9470000000000001</v>
      </c>
      <c r="H48" s="19"/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20"/>
      <c r="C49" s="16"/>
      <c r="D49" s="17" t="s">
        <v>62</v>
      </c>
      <c r="E49" s="44" t="s">
        <v>63</v>
      </c>
      <c r="F49" s="35" t="s">
        <v>0</v>
      </c>
      <c r="G49" s="42">
        <v>0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22.5" x14ac:dyDescent="0.25">
      <c r="A50" s="20"/>
      <c r="C50" s="65"/>
      <c r="D50" s="17" t="s">
        <v>64</v>
      </c>
      <c r="E50" s="44" t="s">
        <v>65</v>
      </c>
      <c r="F50" s="35" t="s">
        <v>0</v>
      </c>
      <c r="G50" s="42">
        <v>1576.0740000000001</v>
      </c>
      <c r="H50" s="19"/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 x14ac:dyDescent="0.25">
      <c r="A51" s="20"/>
      <c r="C51" s="16"/>
      <c r="D51" s="17" t="s">
        <v>66</v>
      </c>
      <c r="E51" s="44" t="s">
        <v>67</v>
      </c>
      <c r="F51" s="35" t="s">
        <v>0</v>
      </c>
      <c r="G51" s="42">
        <v>480.96300000000002</v>
      </c>
      <c r="H51" s="19"/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 x14ac:dyDescent="0.25">
      <c r="A52" s="20"/>
      <c r="C52" s="65"/>
      <c r="D52" s="17" t="s">
        <v>68</v>
      </c>
      <c r="E52" s="44" t="s">
        <v>69</v>
      </c>
      <c r="F52" s="35" t="s">
        <v>0</v>
      </c>
      <c r="G52" s="42">
        <v>744.68600000000004</v>
      </c>
      <c r="H52" s="19"/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 x14ac:dyDescent="0.25">
      <c r="A53" s="20"/>
      <c r="C53" s="16"/>
      <c r="D53" s="17" t="s">
        <v>70</v>
      </c>
      <c r="E53" s="44" t="s">
        <v>71</v>
      </c>
      <c r="F53" s="35" t="s">
        <v>0</v>
      </c>
      <c r="G53" s="42">
        <v>227.964</v>
      </c>
      <c r="H53" s="19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20"/>
      <c r="C54" s="16"/>
      <c r="D54" s="17" t="s">
        <v>72</v>
      </c>
      <c r="E54" s="44" t="s">
        <v>73</v>
      </c>
      <c r="F54" s="35" t="s">
        <v>0</v>
      </c>
      <c r="G54" s="42">
        <f>125.032+0.716+7.882</f>
        <v>133.63</v>
      </c>
      <c r="H54" s="19"/>
      <c r="I54" s="11"/>
      <c r="K54" s="68"/>
      <c r="L54" s="3"/>
      <c r="M54" s="3"/>
      <c r="P54" s="4"/>
      <c r="S54" s="12"/>
      <c r="Y54" s="13"/>
      <c r="Z54" s="13"/>
      <c r="AA54" s="13"/>
      <c r="AB54" s="13"/>
      <c r="AC54" s="13"/>
    </row>
    <row r="55" spans="1:29" s="2" customFormat="1" ht="22.5" x14ac:dyDescent="0.25">
      <c r="A55" s="20"/>
      <c r="C55" s="16"/>
      <c r="D55" s="17" t="s">
        <v>74</v>
      </c>
      <c r="E55" s="44" t="s">
        <v>75</v>
      </c>
      <c r="F55" s="35" t="s">
        <v>0</v>
      </c>
      <c r="G55" s="42">
        <v>0</v>
      </c>
      <c r="H55" s="19"/>
      <c r="I55" s="11"/>
      <c r="K55" s="68"/>
      <c r="L55" s="3"/>
      <c r="M55" s="3"/>
      <c r="P55" s="4"/>
      <c r="S55" s="12"/>
      <c r="Y55" s="13"/>
      <c r="Z55" s="13"/>
      <c r="AA55" s="13"/>
      <c r="AB55" s="13"/>
      <c r="AC55" s="13"/>
    </row>
    <row r="56" spans="1:29" s="2" customFormat="1" ht="18.75" x14ac:dyDescent="0.25">
      <c r="A56" s="20"/>
      <c r="C56" s="16"/>
      <c r="D56" s="17" t="s">
        <v>76</v>
      </c>
      <c r="E56" s="44" t="s">
        <v>77</v>
      </c>
      <c r="F56" s="35" t="s">
        <v>0</v>
      </c>
      <c r="G56" s="42">
        <v>0</v>
      </c>
      <c r="H56" s="19" t="s">
        <v>78</v>
      </c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18.75" x14ac:dyDescent="0.25">
      <c r="A57" s="20"/>
      <c r="C57" s="16"/>
      <c r="D57" s="17" t="s">
        <v>79</v>
      </c>
      <c r="E57" s="66" t="s">
        <v>80</v>
      </c>
      <c r="F57" s="35" t="s">
        <v>0</v>
      </c>
      <c r="G57" s="42">
        <v>0</v>
      </c>
      <c r="H57" s="19" t="s">
        <v>81</v>
      </c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18.75" x14ac:dyDescent="0.25">
      <c r="A58" s="20"/>
      <c r="C58" s="16"/>
      <c r="D58" s="17" t="s">
        <v>82</v>
      </c>
      <c r="E58" s="66" t="s">
        <v>83</v>
      </c>
      <c r="F58" s="35" t="s">
        <v>0</v>
      </c>
      <c r="G58" s="42">
        <v>0</v>
      </c>
      <c r="H58" s="19" t="s">
        <v>84</v>
      </c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18.75" x14ac:dyDescent="0.25">
      <c r="A59" s="20"/>
      <c r="C59" s="16"/>
      <c r="D59" s="17" t="s">
        <v>85</v>
      </c>
      <c r="E59" s="44" t="s">
        <v>86</v>
      </c>
      <c r="F59" s="35" t="s">
        <v>0</v>
      </c>
      <c r="G59" s="42">
        <v>0</v>
      </c>
      <c r="H59" s="19" t="s">
        <v>87</v>
      </c>
      <c r="I59" s="11"/>
      <c r="K59" s="4"/>
      <c r="P59" s="4"/>
      <c r="S59" s="12"/>
      <c r="Y59" s="13"/>
      <c r="Z59" s="13"/>
      <c r="AA59" s="13"/>
      <c r="AB59" s="13"/>
      <c r="AC59" s="13"/>
    </row>
    <row r="60" spans="1:29" s="2" customFormat="1" ht="18.75" x14ac:dyDescent="0.25">
      <c r="A60" s="20"/>
      <c r="C60" s="16"/>
      <c r="D60" s="17" t="s">
        <v>88</v>
      </c>
      <c r="E60" s="66" t="s">
        <v>80</v>
      </c>
      <c r="F60" s="35" t="s">
        <v>0</v>
      </c>
      <c r="G60" s="42">
        <v>0</v>
      </c>
      <c r="H60" s="19" t="s">
        <v>89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18.75" x14ac:dyDescent="0.25">
      <c r="A61" s="20"/>
      <c r="C61" s="16"/>
      <c r="D61" s="17" t="s">
        <v>90</v>
      </c>
      <c r="E61" s="66" t="s">
        <v>83</v>
      </c>
      <c r="F61" s="35" t="s">
        <v>0</v>
      </c>
      <c r="G61" s="42">
        <v>0</v>
      </c>
      <c r="H61" s="19" t="s">
        <v>91</v>
      </c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22.5" x14ac:dyDescent="0.25">
      <c r="A62" s="20"/>
      <c r="C62" s="16"/>
      <c r="D62" s="121" t="s">
        <v>92</v>
      </c>
      <c r="E62" s="44" t="s">
        <v>93</v>
      </c>
      <c r="F62" s="123" t="s">
        <v>0</v>
      </c>
      <c r="G62" s="42">
        <f>0+5.198+0</f>
        <v>5.1980000000000004</v>
      </c>
      <c r="H62" s="19"/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45" x14ac:dyDescent="0.25">
      <c r="A63" s="20"/>
      <c r="C63" s="16"/>
      <c r="D63" s="122"/>
      <c r="E63" s="66" t="s">
        <v>94</v>
      </c>
      <c r="F63" s="124"/>
      <c r="G63" s="69" t="s">
        <v>95</v>
      </c>
      <c r="H63" s="19"/>
      <c r="I63" s="11"/>
      <c r="K63" s="4" t="e">
        <f ca="1">nerr(MATCH("есть",List01_flag_index_1,0))</f>
        <v>#NAME?</v>
      </c>
      <c r="P63" s="4"/>
      <c r="S63" s="12"/>
      <c r="Y63" s="13"/>
      <c r="Z63" s="13"/>
      <c r="AA63" s="13"/>
      <c r="AB63" s="13"/>
      <c r="AC63" s="13"/>
    </row>
    <row r="64" spans="1:29" s="4" customFormat="1" ht="5.25" hidden="1" x14ac:dyDescent="0.25">
      <c r="A64" s="70"/>
      <c r="C64" s="45"/>
      <c r="D64" s="125"/>
      <c r="E64" s="71"/>
      <c r="F64" s="127"/>
      <c r="G64" s="56"/>
      <c r="H64" s="50"/>
      <c r="S64" s="51"/>
      <c r="Y64" s="52"/>
      <c r="Z64" s="52"/>
      <c r="AA64" s="52"/>
      <c r="AB64" s="52"/>
      <c r="AC64" s="52"/>
    </row>
    <row r="65" spans="1:29" s="4" customFormat="1" ht="5.25" hidden="1" x14ac:dyDescent="0.25">
      <c r="A65" s="70"/>
      <c r="C65" s="45"/>
      <c r="D65" s="126"/>
      <c r="E65" s="72"/>
      <c r="F65" s="128"/>
      <c r="G65" s="73" t="s">
        <v>95</v>
      </c>
      <c r="H65" s="50"/>
      <c r="K65" s="4" t="e">
        <f ca="1">nerr(MATCH("есть",List01_flag_index_2,0))</f>
        <v>#NAME?</v>
      </c>
      <c r="S65" s="51"/>
      <c r="Y65" s="52"/>
      <c r="Z65" s="52"/>
      <c r="AA65" s="52"/>
      <c r="AB65" s="52"/>
      <c r="AC65" s="52"/>
    </row>
    <row r="66" spans="1:29" s="2" customFormat="1" ht="22.5" x14ac:dyDescent="0.25">
      <c r="A66" s="20"/>
      <c r="C66" s="16"/>
      <c r="D66" s="74" t="s">
        <v>96</v>
      </c>
      <c r="E66" s="75" t="s">
        <v>97</v>
      </c>
      <c r="F66" s="76" t="s">
        <v>0</v>
      </c>
      <c r="G66" s="77">
        <f>SUM(G67:G70)</f>
        <v>333.25700000000001</v>
      </c>
      <c r="H66" s="19" t="s">
        <v>98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18.75" hidden="1" x14ac:dyDescent="0.25">
      <c r="A67" s="20"/>
      <c r="C67" s="16"/>
      <c r="D67" s="6" t="s">
        <v>99</v>
      </c>
      <c r="E67" s="66"/>
      <c r="F67" s="35"/>
      <c r="G67" s="78"/>
      <c r="H67" s="7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22.5" x14ac:dyDescent="0.25">
      <c r="A68" s="20"/>
      <c r="C68" s="57" t="s">
        <v>42</v>
      </c>
      <c r="D68" s="6" t="s">
        <v>100</v>
      </c>
      <c r="E68" s="80" t="s">
        <v>101</v>
      </c>
      <c r="F68" s="35" t="s">
        <v>0</v>
      </c>
      <c r="G68" s="9">
        <f>19.784+42.711</f>
        <v>62.494999999999997</v>
      </c>
      <c r="H68" s="10" t="s">
        <v>1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22.5" x14ac:dyDescent="0.25">
      <c r="A69" s="20"/>
      <c r="C69" s="57" t="s">
        <v>42</v>
      </c>
      <c r="D69" s="6" t="s">
        <v>102</v>
      </c>
      <c r="E69" s="81" t="s">
        <v>103</v>
      </c>
      <c r="F69" s="35" t="s">
        <v>0</v>
      </c>
      <c r="G69" s="9">
        <v>270.762</v>
      </c>
      <c r="H69" s="10" t="s">
        <v>1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18.75" x14ac:dyDescent="0.25">
      <c r="A70" s="20"/>
      <c r="C70" s="58"/>
      <c r="D70" s="59"/>
      <c r="E70" s="60" t="s">
        <v>104</v>
      </c>
      <c r="F70" s="61"/>
      <c r="G70" s="62"/>
      <c r="H70" s="63"/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20"/>
      <c r="C71" s="16"/>
      <c r="D71" s="17" t="s">
        <v>105</v>
      </c>
      <c r="E71" s="40" t="s">
        <v>106</v>
      </c>
      <c r="F71" s="35" t="s">
        <v>0</v>
      </c>
      <c r="G71" s="42">
        <f>G29-G30</f>
        <v>-1658.4114833024696</v>
      </c>
      <c r="H71" s="19"/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20"/>
      <c r="C72" s="65"/>
      <c r="D72" s="17" t="s">
        <v>107</v>
      </c>
      <c r="E72" s="40" t="s">
        <v>108</v>
      </c>
      <c r="F72" s="35" t="s">
        <v>0</v>
      </c>
      <c r="G72" s="42">
        <v>0</v>
      </c>
      <c r="H72" s="19" t="s">
        <v>109</v>
      </c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33.75" x14ac:dyDescent="0.25">
      <c r="A73" s="20"/>
      <c r="C73" s="16"/>
      <c r="D73" s="17" t="s">
        <v>110</v>
      </c>
      <c r="E73" s="44" t="s">
        <v>111</v>
      </c>
      <c r="F73" s="35" t="s">
        <v>0</v>
      </c>
      <c r="G73" s="42">
        <v>0</v>
      </c>
      <c r="H73" s="19"/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18.75" x14ac:dyDescent="0.25">
      <c r="A74" s="20"/>
      <c r="C74" s="16"/>
      <c r="D74" s="17" t="s">
        <v>112</v>
      </c>
      <c r="E74" s="40" t="s">
        <v>113</v>
      </c>
      <c r="F74" s="35" t="s">
        <v>0</v>
      </c>
      <c r="G74" s="42">
        <f>G75+G78</f>
        <v>223</v>
      </c>
      <c r="H74" s="19" t="s">
        <v>114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2" customFormat="1" ht="22.5" x14ac:dyDescent="0.25">
      <c r="A75" s="20"/>
      <c r="C75" s="16"/>
      <c r="D75" s="17" t="s">
        <v>115</v>
      </c>
      <c r="E75" s="44" t="s">
        <v>116</v>
      </c>
      <c r="F75" s="35" t="s">
        <v>0</v>
      </c>
      <c r="G75" s="42">
        <f>G76+G77</f>
        <v>223</v>
      </c>
      <c r="H75" s="19" t="s">
        <v>117</v>
      </c>
      <c r="I75" s="11"/>
      <c r="K75" s="4"/>
      <c r="P75" s="4"/>
      <c r="S75" s="12"/>
      <c r="Y75" s="13"/>
      <c r="Z75" s="13"/>
      <c r="AA75" s="13"/>
      <c r="AB75" s="13"/>
      <c r="AC75" s="13"/>
    </row>
    <row r="76" spans="1:29" s="2" customFormat="1" ht="22.5" x14ac:dyDescent="0.25">
      <c r="A76" s="20"/>
      <c r="C76" s="16"/>
      <c r="D76" s="17" t="s">
        <v>118</v>
      </c>
      <c r="E76" s="66" t="s">
        <v>119</v>
      </c>
      <c r="F76" s="35" t="s">
        <v>0</v>
      </c>
      <c r="G76" s="42">
        <v>0</v>
      </c>
      <c r="H76" s="19" t="s">
        <v>120</v>
      </c>
      <c r="I76" s="11"/>
      <c r="K76" s="4"/>
      <c r="P76" s="4"/>
      <c r="S76" s="12"/>
      <c r="Y76" s="13"/>
      <c r="Z76" s="13"/>
      <c r="AA76" s="13"/>
      <c r="AB76" s="13"/>
      <c r="AC76" s="13"/>
    </row>
    <row r="77" spans="1:29" s="2" customFormat="1" ht="22.5" x14ac:dyDescent="0.25">
      <c r="A77" s="20"/>
      <c r="C77" s="16"/>
      <c r="D77" s="17" t="s">
        <v>121</v>
      </c>
      <c r="E77" s="66" t="s">
        <v>122</v>
      </c>
      <c r="F77" s="35" t="s">
        <v>0</v>
      </c>
      <c r="G77" s="42">
        <v>223</v>
      </c>
      <c r="H77" s="19" t="s">
        <v>123</v>
      </c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22.5" x14ac:dyDescent="0.25">
      <c r="A78" s="20"/>
      <c r="C78" s="16"/>
      <c r="D78" s="17" t="s">
        <v>124</v>
      </c>
      <c r="E78" s="44" t="s">
        <v>125</v>
      </c>
      <c r="F78" s="35" t="s">
        <v>0</v>
      </c>
      <c r="G78" s="42">
        <v>0</v>
      </c>
      <c r="H78" s="19"/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33.75" x14ac:dyDescent="0.25">
      <c r="A79" s="20"/>
      <c r="C79" s="16"/>
      <c r="D79" s="17" t="s">
        <v>126</v>
      </c>
      <c r="E79" s="40" t="s">
        <v>127</v>
      </c>
      <c r="F79" s="35" t="s">
        <v>128</v>
      </c>
      <c r="G79" s="82" t="s">
        <v>129</v>
      </c>
      <c r="H79" s="19" t="s">
        <v>130</v>
      </c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45" x14ac:dyDescent="0.25">
      <c r="A80" s="20"/>
      <c r="C80" s="16"/>
      <c r="D80" s="17" t="s">
        <v>131</v>
      </c>
      <c r="E80" s="40" t="s">
        <v>132</v>
      </c>
      <c r="F80" s="35" t="s">
        <v>16</v>
      </c>
      <c r="G80" s="42">
        <v>1.08</v>
      </c>
      <c r="H80" s="19" t="s">
        <v>133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53" customFormat="1" ht="5.25" hidden="1" x14ac:dyDescent="0.25">
      <c r="A81" s="70"/>
      <c r="B81" s="4"/>
      <c r="C81" s="45"/>
      <c r="D81" s="83" t="s">
        <v>134</v>
      </c>
      <c r="E81" s="84"/>
      <c r="F81" s="85"/>
      <c r="G81" s="86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51"/>
      <c r="T81" s="4"/>
      <c r="U81" s="4"/>
      <c r="V81" s="4"/>
      <c r="W81" s="4"/>
      <c r="X81" s="4"/>
      <c r="Y81" s="52"/>
      <c r="Z81" s="52"/>
      <c r="AA81" s="52"/>
      <c r="AB81" s="52"/>
      <c r="AC81" s="52"/>
    </row>
    <row r="82" spans="1:29" ht="22.5" x14ac:dyDescent="0.25">
      <c r="C82" s="58"/>
      <c r="D82" s="59"/>
      <c r="E82" s="89" t="s">
        <v>175</v>
      </c>
      <c r="F82" s="61"/>
      <c r="G82" s="62"/>
      <c r="H82" s="90" t="s">
        <v>176</v>
      </c>
      <c r="I82" s="11"/>
    </row>
    <row r="83" spans="1:29" s="2" customFormat="1" ht="22.5" x14ac:dyDescent="0.25">
      <c r="A83" s="20"/>
      <c r="C83" s="16"/>
      <c r="D83" s="17" t="s">
        <v>177</v>
      </c>
      <c r="E83" s="44" t="s">
        <v>178</v>
      </c>
      <c r="F83" s="35" t="s">
        <v>16</v>
      </c>
      <c r="G83" s="42">
        <v>0.90080000000000005</v>
      </c>
      <c r="H83" s="19" t="s">
        <v>179</v>
      </c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22.5" x14ac:dyDescent="0.25">
      <c r="A84" s="20"/>
      <c r="C84" s="16"/>
      <c r="D84" s="17" t="s">
        <v>180</v>
      </c>
      <c r="E84" s="44" t="s">
        <v>181</v>
      </c>
      <c r="F84" s="35" t="s">
        <v>182</v>
      </c>
      <c r="G84" s="67">
        <v>2.0219999999999998</v>
      </c>
      <c r="H84" s="19" t="s">
        <v>183</v>
      </c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18.75" x14ac:dyDescent="0.25">
      <c r="A85" s="20"/>
      <c r="C85" s="16"/>
      <c r="D85" s="17" t="s">
        <v>184</v>
      </c>
      <c r="E85" s="44" t="s">
        <v>185</v>
      </c>
      <c r="F85" s="35" t="s">
        <v>182</v>
      </c>
      <c r="G85" s="18"/>
      <c r="H85" s="19" t="s">
        <v>186</v>
      </c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33.75" x14ac:dyDescent="0.25">
      <c r="A86" s="20"/>
      <c r="C86" s="16"/>
      <c r="D86" s="17" t="s">
        <v>187</v>
      </c>
      <c r="E86" s="44" t="s">
        <v>188</v>
      </c>
      <c r="F86" s="35" t="s">
        <v>182</v>
      </c>
      <c r="G86" s="67">
        <v>2.0219999999999998</v>
      </c>
      <c r="H86" s="19" t="s">
        <v>189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s="2" customFormat="1" ht="18.75" x14ac:dyDescent="0.25">
      <c r="A87" s="20"/>
      <c r="C87" s="16"/>
      <c r="D87" s="17" t="s">
        <v>190</v>
      </c>
      <c r="E87" s="66" t="s">
        <v>191</v>
      </c>
      <c r="F87" s="35" t="s">
        <v>182</v>
      </c>
      <c r="G87" s="67">
        <v>0</v>
      </c>
      <c r="H87" s="19"/>
      <c r="I87" s="11"/>
      <c r="K87" s="4"/>
      <c r="P87" s="4"/>
      <c r="S87" s="12"/>
      <c r="Y87" s="13"/>
      <c r="Z87" s="13"/>
      <c r="AA87" s="13"/>
      <c r="AB87" s="13"/>
      <c r="AC87" s="13"/>
    </row>
    <row r="88" spans="1:29" s="2" customFormat="1" ht="45" x14ac:dyDescent="0.25">
      <c r="A88" s="20"/>
      <c r="C88" s="16"/>
      <c r="D88" s="17" t="s">
        <v>192</v>
      </c>
      <c r="E88" s="28" t="s">
        <v>193</v>
      </c>
      <c r="F88" s="35" t="s">
        <v>182</v>
      </c>
      <c r="G88" s="67">
        <v>0</v>
      </c>
      <c r="H88" s="19"/>
      <c r="I88" s="11"/>
      <c r="K88" s="4"/>
      <c r="P88" s="4"/>
      <c r="S88" s="12"/>
      <c r="Y88" s="13"/>
      <c r="Z88" s="13"/>
      <c r="AA88" s="13"/>
      <c r="AB88" s="13"/>
      <c r="AC88" s="13"/>
    </row>
    <row r="89" spans="1:29" s="2" customFormat="1" ht="22.5" x14ac:dyDescent="0.25">
      <c r="A89" s="20"/>
      <c r="C89" s="16"/>
      <c r="D89" s="17" t="s">
        <v>194</v>
      </c>
      <c r="E89" s="44" t="s">
        <v>195</v>
      </c>
      <c r="F89" s="35" t="s">
        <v>182</v>
      </c>
      <c r="G89" s="67">
        <v>0</v>
      </c>
      <c r="H89" s="19"/>
      <c r="I89" s="11"/>
      <c r="K89" s="4"/>
      <c r="P89" s="4"/>
      <c r="S89" s="12"/>
      <c r="Y89" s="13"/>
      <c r="Z89" s="13"/>
      <c r="AA89" s="13"/>
      <c r="AB89" s="13"/>
      <c r="AC89" s="13"/>
    </row>
    <row r="90" spans="1:29" s="2" customFormat="1" ht="22.5" x14ac:dyDescent="0.25">
      <c r="A90" s="20"/>
      <c r="C90" s="16"/>
      <c r="D90" s="17" t="s">
        <v>196</v>
      </c>
      <c r="E90" s="40" t="s">
        <v>197</v>
      </c>
      <c r="F90" s="35" t="s">
        <v>198</v>
      </c>
      <c r="G90" s="42">
        <v>0</v>
      </c>
      <c r="H90" s="19"/>
      <c r="I90" s="11"/>
      <c r="K90" s="4"/>
      <c r="P90" s="4"/>
      <c r="S90" s="12"/>
      <c r="Y90" s="13"/>
      <c r="Z90" s="13"/>
      <c r="AA90" s="13"/>
      <c r="AB90" s="13"/>
      <c r="AC90" s="13"/>
    </row>
    <row r="91" spans="1:29" s="2" customFormat="1" ht="22.5" x14ac:dyDescent="0.25">
      <c r="A91" s="20"/>
      <c r="C91" s="16"/>
      <c r="D91" s="17" t="s">
        <v>199</v>
      </c>
      <c r="E91" s="40" t="s">
        <v>200</v>
      </c>
      <c r="F91" s="35" t="s">
        <v>201</v>
      </c>
      <c r="G91" s="42">
        <v>0</v>
      </c>
      <c r="H91" s="19"/>
      <c r="I91" s="11"/>
      <c r="K91" s="4"/>
      <c r="P91" s="4"/>
      <c r="S91" s="12"/>
      <c r="Y91" s="13"/>
      <c r="Z91" s="13"/>
      <c r="AA91" s="13"/>
      <c r="AB91" s="13"/>
      <c r="AC91" s="13"/>
    </row>
    <row r="92" spans="1:29" s="2" customFormat="1" ht="22.5" x14ac:dyDescent="0.25">
      <c r="A92" s="20"/>
      <c r="C92" s="16"/>
      <c r="D92" s="17" t="s">
        <v>202</v>
      </c>
      <c r="E92" s="44" t="s">
        <v>203</v>
      </c>
      <c r="F92" s="35" t="s">
        <v>201</v>
      </c>
      <c r="G92" s="42">
        <v>0</v>
      </c>
      <c r="H92" s="19" t="s">
        <v>204</v>
      </c>
      <c r="I92" s="11"/>
      <c r="K92" s="4"/>
      <c r="P92" s="4"/>
      <c r="S92" s="12"/>
      <c r="Y92" s="13"/>
      <c r="Z92" s="13"/>
      <c r="AA92" s="13"/>
      <c r="AB92" s="13"/>
      <c r="AC92" s="13"/>
    </row>
    <row r="93" spans="1:29" ht="22.5" x14ac:dyDescent="0.25">
      <c r="C93" s="16"/>
      <c r="D93" s="17" t="s">
        <v>205</v>
      </c>
      <c r="E93" s="40" t="s">
        <v>206</v>
      </c>
      <c r="F93" s="35" t="s">
        <v>207</v>
      </c>
      <c r="G93" s="42">
        <v>6</v>
      </c>
      <c r="H93" s="19"/>
      <c r="I93" s="11"/>
    </row>
    <row r="94" spans="1:29" ht="22.5" x14ac:dyDescent="0.25">
      <c r="C94" s="16"/>
      <c r="D94" s="17" t="s">
        <v>208</v>
      </c>
      <c r="E94" s="40" t="s">
        <v>209</v>
      </c>
      <c r="F94" s="35" t="s">
        <v>207</v>
      </c>
      <c r="G94" s="42">
        <v>2</v>
      </c>
      <c r="H94" s="19"/>
      <c r="I94" s="11"/>
    </row>
    <row r="95" spans="1:29" ht="56.25" x14ac:dyDescent="0.25">
      <c r="C95" s="16"/>
      <c r="D95" s="17" t="s">
        <v>210</v>
      </c>
      <c r="E95" s="40" t="s">
        <v>211</v>
      </c>
      <c r="F95" s="35" t="s">
        <v>2</v>
      </c>
      <c r="G95" s="67">
        <v>172.29</v>
      </c>
      <c r="H95" s="19" t="s">
        <v>212</v>
      </c>
      <c r="I95" s="11"/>
    </row>
    <row r="96" spans="1:29" s="53" customFormat="1" ht="5.25" hidden="1" x14ac:dyDescent="0.25">
      <c r="A96" s="70"/>
      <c r="B96" s="4"/>
      <c r="C96" s="45"/>
      <c r="D96" s="91" t="s">
        <v>213</v>
      </c>
      <c r="E96" s="92"/>
      <c r="F96" s="85"/>
      <c r="G96" s="86"/>
      <c r="H96" s="87"/>
      <c r="I96" s="4"/>
      <c r="J96" s="4"/>
      <c r="K96" s="4"/>
      <c r="L96" s="4"/>
      <c r="M96" s="4"/>
      <c r="N96" s="4"/>
      <c r="O96" s="4"/>
      <c r="P96" s="4"/>
      <c r="Q96" s="4"/>
      <c r="R96" s="4"/>
      <c r="S96" s="51"/>
      <c r="T96" s="4"/>
      <c r="U96" s="4"/>
      <c r="V96" s="4"/>
      <c r="W96" s="4"/>
      <c r="X96" s="4"/>
      <c r="Y96" s="52"/>
      <c r="Z96" s="52"/>
      <c r="AA96" s="52"/>
      <c r="AB96" s="52"/>
      <c r="AC96" s="52"/>
    </row>
    <row r="97" spans="1:29" ht="22.5" x14ac:dyDescent="0.25">
      <c r="C97" s="58"/>
      <c r="D97" s="59"/>
      <c r="E97" s="89" t="s">
        <v>175</v>
      </c>
      <c r="F97" s="61"/>
      <c r="G97" s="62"/>
      <c r="H97" s="90" t="s">
        <v>234</v>
      </c>
      <c r="I97" s="11"/>
    </row>
    <row r="98" spans="1:29" ht="45" x14ac:dyDescent="0.25">
      <c r="C98" s="16"/>
      <c r="D98" s="17" t="s">
        <v>235</v>
      </c>
      <c r="E98" s="40" t="s">
        <v>236</v>
      </c>
      <c r="F98" s="35" t="s">
        <v>13</v>
      </c>
      <c r="G98" s="67">
        <v>172.29</v>
      </c>
      <c r="H98" s="19" t="s">
        <v>237</v>
      </c>
      <c r="I98" s="11"/>
    </row>
    <row r="99" spans="1:29" s="53" customFormat="1" ht="5.25" hidden="1" x14ac:dyDescent="0.25">
      <c r="A99" s="70"/>
      <c r="B99" s="4"/>
      <c r="C99" s="45"/>
      <c r="D99" s="83" t="s">
        <v>238</v>
      </c>
      <c r="E99" s="84"/>
      <c r="F99" s="85"/>
      <c r="G99" s="86"/>
      <c r="H99" s="87"/>
      <c r="I99" s="4"/>
      <c r="J99" s="4"/>
      <c r="K99" s="4"/>
      <c r="L99" s="4"/>
      <c r="M99" s="4"/>
      <c r="N99" s="4"/>
      <c r="O99" s="4"/>
      <c r="P99" s="4"/>
      <c r="Q99" s="4"/>
      <c r="R99" s="4"/>
      <c r="S99" s="51"/>
      <c r="T99" s="4"/>
      <c r="U99" s="4"/>
      <c r="V99" s="4"/>
      <c r="W99" s="4"/>
      <c r="X99" s="4"/>
      <c r="Y99" s="52"/>
      <c r="Z99" s="52"/>
      <c r="AA99" s="52"/>
      <c r="AB99" s="52"/>
      <c r="AC99" s="52"/>
    </row>
    <row r="100" spans="1:29" ht="22.5" x14ac:dyDescent="0.25">
      <c r="C100" s="58"/>
      <c r="D100" s="59"/>
      <c r="E100" s="89" t="s">
        <v>175</v>
      </c>
      <c r="F100" s="61"/>
      <c r="G100" s="62"/>
      <c r="H100" s="90" t="s">
        <v>259</v>
      </c>
      <c r="I100" s="11"/>
    </row>
    <row r="101" spans="1:29" ht="33.75" x14ac:dyDescent="0.25">
      <c r="C101" s="16"/>
      <c r="D101" s="17" t="s">
        <v>260</v>
      </c>
      <c r="E101" s="40" t="s">
        <v>261</v>
      </c>
      <c r="F101" s="35" t="s">
        <v>13</v>
      </c>
      <c r="G101" s="67">
        <v>172.29</v>
      </c>
      <c r="H101" s="19" t="s">
        <v>262</v>
      </c>
      <c r="I101" s="11"/>
    </row>
    <row r="102" spans="1:29" s="53" customFormat="1" ht="5.25" hidden="1" x14ac:dyDescent="0.25">
      <c r="A102" s="70"/>
      <c r="B102" s="4"/>
      <c r="C102" s="45"/>
      <c r="D102" s="83" t="s">
        <v>263</v>
      </c>
      <c r="E102" s="84"/>
      <c r="F102" s="85"/>
      <c r="G102" s="86"/>
      <c r="H102" s="8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51"/>
      <c r="T102" s="4"/>
      <c r="U102" s="4"/>
      <c r="V102" s="4"/>
      <c r="W102" s="4"/>
      <c r="X102" s="4"/>
      <c r="Y102" s="52"/>
      <c r="Z102" s="52"/>
      <c r="AA102" s="52"/>
      <c r="AB102" s="52"/>
      <c r="AC102" s="52"/>
    </row>
    <row r="103" spans="1:29" ht="22.5" x14ac:dyDescent="0.25">
      <c r="C103" s="58"/>
      <c r="D103" s="59"/>
      <c r="E103" s="89" t="s">
        <v>175</v>
      </c>
      <c r="F103" s="61"/>
      <c r="G103" s="62"/>
      <c r="H103" s="90" t="s">
        <v>284</v>
      </c>
      <c r="I103" s="11"/>
    </row>
    <row r="104" spans="1:29" ht="33.75" x14ac:dyDescent="0.25">
      <c r="C104" s="16"/>
      <c r="D104" s="17" t="s">
        <v>285</v>
      </c>
      <c r="E104" s="40" t="s">
        <v>286</v>
      </c>
      <c r="F104" s="35" t="s">
        <v>287</v>
      </c>
      <c r="G104" s="42">
        <v>5.3999999999999999E-2</v>
      </c>
      <c r="H104" s="19" t="s">
        <v>288</v>
      </c>
      <c r="I104" s="11"/>
    </row>
    <row r="105" spans="1:29" ht="33.75" x14ac:dyDescent="0.25">
      <c r="C105" s="16"/>
      <c r="D105" s="17" t="s">
        <v>289</v>
      </c>
      <c r="E105" s="40" t="s">
        <v>290</v>
      </c>
      <c r="F105" s="35" t="s">
        <v>291</v>
      </c>
      <c r="G105" s="42">
        <v>3.3000000000000002E-2</v>
      </c>
      <c r="H105" s="19" t="s">
        <v>288</v>
      </c>
      <c r="I105" s="11"/>
    </row>
    <row r="106" spans="1:29" ht="67.5" x14ac:dyDescent="0.25">
      <c r="C106" s="16"/>
      <c r="D106" s="17" t="s">
        <v>292</v>
      </c>
      <c r="E106" s="40" t="s">
        <v>293</v>
      </c>
      <c r="F106" s="35" t="s">
        <v>128</v>
      </c>
      <c r="G106" s="93"/>
      <c r="H106" s="19" t="s">
        <v>294</v>
      </c>
      <c r="I106" s="11"/>
    </row>
    <row r="107" spans="1:29" ht="22.5" x14ac:dyDescent="0.25">
      <c r="C107" s="16"/>
      <c r="D107" s="17" t="s">
        <v>295</v>
      </c>
      <c r="E107" s="44" t="s">
        <v>296</v>
      </c>
      <c r="F107" s="35" t="s">
        <v>128</v>
      </c>
      <c r="G107" s="93"/>
      <c r="H107" s="19" t="s">
        <v>294</v>
      </c>
      <c r="I107" s="11"/>
    </row>
    <row r="108" spans="1:29" ht="22.5" x14ac:dyDescent="0.25">
      <c r="C108" s="16"/>
      <c r="D108" s="17" t="s">
        <v>297</v>
      </c>
      <c r="E108" s="44" t="s">
        <v>298</v>
      </c>
      <c r="F108" s="35" t="s">
        <v>128</v>
      </c>
      <c r="G108" s="93"/>
      <c r="H108" s="19" t="s">
        <v>294</v>
      </c>
      <c r="I108" s="11"/>
    </row>
    <row r="109" spans="1:29" s="53" customFormat="1" ht="5.25" hidden="1" x14ac:dyDescent="0.25">
      <c r="A109" s="70"/>
      <c r="B109" s="4"/>
      <c r="C109" s="45"/>
      <c r="D109" s="94"/>
      <c r="E109" s="95"/>
      <c r="F109" s="96"/>
      <c r="G109" s="97"/>
      <c r="H109" s="9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51"/>
      <c r="T109" s="4"/>
      <c r="U109" s="4"/>
      <c r="V109" s="4"/>
      <c r="W109" s="4"/>
      <c r="X109" s="4"/>
      <c r="Y109" s="52"/>
      <c r="Z109" s="52"/>
      <c r="AA109" s="52"/>
      <c r="AB109" s="52"/>
      <c r="AC109" s="52"/>
    </row>
    <row r="110" spans="1:29" ht="10.5" customHeight="1" x14ac:dyDescent="0.25">
      <c r="C110" s="16"/>
    </row>
    <row r="111" spans="1:29" ht="12.75" x14ac:dyDescent="0.25">
      <c r="C111" s="16"/>
      <c r="D111" s="98">
        <v>1</v>
      </c>
      <c r="E111" s="118" t="s">
        <v>299</v>
      </c>
      <c r="F111" s="118"/>
      <c r="G111" s="118"/>
      <c r="H111" s="99"/>
    </row>
    <row r="112" spans="1:29" s="53" customFormat="1" ht="11.25" x14ac:dyDescent="0.25">
      <c r="A112" s="70"/>
      <c r="B112" s="4"/>
      <c r="C112" s="100"/>
      <c r="E112" s="101" t="s">
        <v>300</v>
      </c>
      <c r="F112" s="15"/>
      <c r="G112" s="1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52"/>
      <c r="AA112" s="52"/>
      <c r="AB112" s="52"/>
      <c r="AC112" s="52"/>
    </row>
    <row r="113" spans="1:29" s="53" customFormat="1" ht="10.5" customHeight="1" x14ac:dyDescent="0.25">
      <c r="A113" s="70"/>
      <c r="B113" s="4"/>
      <c r="C113" s="100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52"/>
      <c r="AA113" s="52"/>
      <c r="AB113" s="52"/>
      <c r="AC113" s="52"/>
    </row>
    <row r="114" spans="1:29" s="53" customFormat="1" ht="10.5" customHeight="1" x14ac:dyDescent="0.25">
      <c r="A114" s="70"/>
      <c r="B114" s="4"/>
      <c r="C114" s="100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52"/>
      <c r="AA114" s="52"/>
      <c r="AB114" s="52"/>
      <c r="AC114" s="52"/>
    </row>
    <row r="115" spans="1:29" s="53" customFormat="1" ht="10.5" customHeight="1" x14ac:dyDescent="0.25">
      <c r="A115" s="70"/>
      <c r="B115" s="4"/>
      <c r="C115" s="100"/>
      <c r="G115" s="52" t="str">
        <f>IF(G29-G30 &lt;&gt;G71,"WARNING","")</f>
        <v/>
      </c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52"/>
      <c r="AA115" s="52"/>
      <c r="AB115" s="52"/>
      <c r="AC115" s="52"/>
    </row>
    <row r="116" spans="1:29" s="53" customFormat="1" ht="10.5" customHeight="1" x14ac:dyDescent="0.25">
      <c r="A116" s="70"/>
      <c r="B116" s="4"/>
      <c r="C116" s="100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52"/>
      <c r="AA116" s="52"/>
      <c r="AB116" s="52"/>
      <c r="AC116" s="52"/>
    </row>
    <row r="117" spans="1:29" s="53" customFormat="1" ht="10.5" customHeight="1" x14ac:dyDescent="0.25">
      <c r="A117" s="70"/>
      <c r="B117" s="4"/>
      <c r="C117" s="100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52"/>
      <c r="AA117" s="52"/>
      <c r="AB117" s="52"/>
      <c r="AC117" s="52"/>
    </row>
    <row r="118" spans="1:29" s="53" customFormat="1" ht="10.5" customHeight="1" x14ac:dyDescent="0.25">
      <c r="A118" s="70"/>
      <c r="B118" s="4"/>
      <c r="C118" s="100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52"/>
      <c r="AA118" s="52"/>
      <c r="AB118" s="52"/>
      <c r="AC118" s="52"/>
    </row>
    <row r="119" spans="1:29" s="53" customFormat="1" ht="10.5" customHeight="1" x14ac:dyDescent="0.25">
      <c r="A119" s="70"/>
      <c r="B119" s="4"/>
      <c r="C119" s="100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52"/>
      <c r="AA119" s="52"/>
      <c r="AB119" s="52"/>
      <c r="AC119" s="52"/>
    </row>
    <row r="120" spans="1:29" s="53" customFormat="1" ht="10.5" customHeight="1" x14ac:dyDescent="0.25">
      <c r="A120" s="70"/>
      <c r="B120" s="4"/>
      <c r="C120" s="100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52"/>
      <c r="AA120" s="52"/>
      <c r="AB120" s="52"/>
      <c r="AC120" s="52"/>
    </row>
    <row r="121" spans="1:29" s="53" customFormat="1" ht="10.5" customHeight="1" x14ac:dyDescent="0.25">
      <c r="A121" s="70"/>
      <c r="B121" s="4"/>
      <c r="C121" s="100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52"/>
      <c r="AA121" s="52"/>
      <c r="AB121" s="52"/>
      <c r="AC121" s="52"/>
    </row>
    <row r="122" spans="1:29" s="53" customFormat="1" ht="10.5" customHeight="1" x14ac:dyDescent="0.25">
      <c r="A122" s="70"/>
      <c r="B122" s="4"/>
      <c r="C122" s="100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52"/>
      <c r="AA122" s="52"/>
      <c r="AB122" s="52"/>
      <c r="AC122" s="52"/>
    </row>
    <row r="123" spans="1:29" s="53" customFormat="1" ht="10.5" customHeight="1" x14ac:dyDescent="0.25">
      <c r="A123" s="70"/>
      <c r="B123" s="4"/>
      <c r="C123" s="100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52"/>
      <c r="AA123" s="52"/>
      <c r="AB123" s="52"/>
      <c r="AC123" s="52"/>
    </row>
    <row r="124" spans="1:29" s="53" customFormat="1" ht="10.5" customHeight="1" x14ac:dyDescent="0.25">
      <c r="A124" s="70"/>
      <c r="B124" s="4"/>
      <c r="C124" s="100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70"/>
      <c r="B125" s="4"/>
      <c r="C125" s="100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70"/>
      <c r="B126" s="4"/>
      <c r="C126" s="100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70"/>
      <c r="B127" s="4"/>
      <c r="C127" s="100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70"/>
      <c r="B128" s="4"/>
      <c r="C128" s="100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70"/>
      <c r="B129" s="4"/>
      <c r="C129" s="100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70"/>
      <c r="B130" s="4"/>
      <c r="C130" s="100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70"/>
      <c r="B131" s="4"/>
      <c r="C131" s="100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70"/>
      <c r="B132" s="4"/>
      <c r="C132" s="100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70"/>
      <c r="B133" s="4"/>
      <c r="C133" s="100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70"/>
      <c r="B134" s="4"/>
      <c r="C134" s="100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70"/>
      <c r="B135" s="4"/>
      <c r="C135" s="100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70"/>
      <c r="B136" s="4"/>
      <c r="C136" s="100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70"/>
      <c r="B137" s="4"/>
      <c r="C137" s="100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70"/>
      <c r="B138" s="4"/>
      <c r="C138" s="100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70"/>
      <c r="B139" s="4"/>
      <c r="C139" s="100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70"/>
      <c r="B140" s="4"/>
      <c r="C140" s="100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70"/>
      <c r="B141" s="4"/>
      <c r="C141" s="100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70"/>
      <c r="B142" s="4"/>
      <c r="C142" s="100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70"/>
      <c r="B143" s="4"/>
      <c r="C143" s="100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70"/>
      <c r="B144" s="4"/>
      <c r="C144" s="100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70"/>
      <c r="B145" s="4"/>
      <c r="C145" s="100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70"/>
      <c r="B146" s="4"/>
      <c r="C146" s="100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70"/>
      <c r="B147" s="4"/>
      <c r="C147" s="100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70"/>
      <c r="B148" s="4"/>
      <c r="C148" s="100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70"/>
      <c r="B149" s="4"/>
      <c r="C149" s="100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70"/>
      <c r="B150" s="4"/>
      <c r="C150" s="100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70"/>
      <c r="B151" s="4"/>
      <c r="C151" s="100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70"/>
      <c r="B152" s="4"/>
      <c r="C152" s="100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70"/>
      <c r="B153" s="4"/>
      <c r="C153" s="100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70"/>
      <c r="B154" s="4"/>
      <c r="C154" s="100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70"/>
      <c r="B155" s="4"/>
      <c r="C155" s="100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70"/>
      <c r="B156" s="4"/>
      <c r="C156" s="100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70"/>
      <c r="B157" s="4"/>
      <c r="C157" s="100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70"/>
      <c r="B158" s="4"/>
      <c r="C158" s="100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70"/>
      <c r="B159" s="4"/>
      <c r="C159" s="100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70"/>
      <c r="B160" s="4"/>
      <c r="C160" s="100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70"/>
      <c r="B161" s="4"/>
      <c r="C161" s="100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70"/>
      <c r="B162" s="4"/>
      <c r="C162" s="100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70"/>
      <c r="B163" s="4"/>
      <c r="C163" s="100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70"/>
      <c r="B164" s="4"/>
      <c r="C164" s="100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70"/>
      <c r="B165" s="4"/>
      <c r="C165" s="100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70"/>
      <c r="B166" s="4"/>
      <c r="C166" s="100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70"/>
      <c r="B167" s="4"/>
      <c r="C167" s="100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70"/>
      <c r="B168" s="4"/>
      <c r="C168" s="100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70"/>
      <c r="B169" s="4"/>
      <c r="C169" s="100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70"/>
      <c r="B170" s="4"/>
      <c r="C170" s="100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70"/>
      <c r="B171" s="4"/>
      <c r="C171" s="100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70"/>
      <c r="B172" s="4"/>
      <c r="C172" s="100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70"/>
      <c r="B173" s="4"/>
      <c r="C173" s="100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70"/>
      <c r="B174" s="4"/>
      <c r="C174" s="100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70"/>
      <c r="B175" s="4"/>
      <c r="C175" s="100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70"/>
      <c r="B176" s="4"/>
      <c r="C176" s="100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70"/>
      <c r="B177" s="4"/>
      <c r="C177" s="100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70"/>
      <c r="B178" s="4"/>
      <c r="C178" s="100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70"/>
      <c r="B179" s="4"/>
      <c r="C179" s="100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70"/>
      <c r="B180" s="4"/>
      <c r="C180" s="100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70"/>
      <c r="B181" s="4"/>
      <c r="C181" s="100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70"/>
      <c r="B182" s="4"/>
      <c r="C182" s="100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70"/>
      <c r="B183" s="4"/>
      <c r="C183" s="100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70"/>
      <c r="B184" s="4"/>
      <c r="C184" s="100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70"/>
      <c r="B185" s="4"/>
      <c r="C185" s="100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70"/>
      <c r="B186" s="4"/>
      <c r="C186" s="100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70"/>
      <c r="B187" s="4"/>
      <c r="C187" s="100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70"/>
      <c r="B188" s="4"/>
      <c r="C188" s="100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70"/>
      <c r="B189" s="4"/>
      <c r="C189" s="100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70"/>
      <c r="B190" s="4"/>
      <c r="C190" s="100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70"/>
      <c r="B191" s="4"/>
      <c r="C191" s="100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70"/>
      <c r="B192" s="4"/>
      <c r="C192" s="100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70"/>
      <c r="B193" s="4"/>
      <c r="C193" s="100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70"/>
      <c r="B194" s="4"/>
      <c r="C194" s="100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70"/>
      <c r="B195" s="4"/>
      <c r="C195" s="100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70"/>
      <c r="B196" s="4"/>
      <c r="C196" s="100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70"/>
      <c r="B197" s="4"/>
      <c r="C197" s="100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70"/>
      <c r="B198" s="4"/>
      <c r="C198" s="100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70"/>
      <c r="B199" s="4"/>
      <c r="C199" s="100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70"/>
      <c r="B200" s="4"/>
      <c r="C200" s="100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70"/>
      <c r="B201" s="4"/>
      <c r="C201" s="100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70"/>
      <c r="B202" s="4"/>
      <c r="C202" s="100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70"/>
      <c r="B203" s="4"/>
      <c r="C203" s="100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70"/>
      <c r="B204" s="4"/>
      <c r="C204" s="100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70"/>
      <c r="B205" s="4"/>
      <c r="C205" s="100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70"/>
      <c r="B206" s="4"/>
      <c r="C206" s="100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70"/>
      <c r="B207" s="4"/>
      <c r="C207" s="100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70"/>
      <c r="B208" s="4"/>
      <c r="C208" s="100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70"/>
      <c r="B209" s="4"/>
      <c r="C209" s="100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70"/>
      <c r="B210" s="4"/>
      <c r="C210" s="100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100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100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100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100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100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100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100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100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100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100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100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100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100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100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100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100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100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100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100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100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100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100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100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100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100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100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100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100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100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100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100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100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100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100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100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100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100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100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100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100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100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100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100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100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100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100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100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100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100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100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100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70"/>
      <c r="B262" s="4"/>
      <c r="C262" s="100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70"/>
      <c r="B263" s="4"/>
      <c r="C263" s="100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70"/>
      <c r="B264" s="4"/>
      <c r="C264" s="100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70"/>
      <c r="B265" s="4"/>
      <c r="C265" s="100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70"/>
      <c r="B266" s="4"/>
      <c r="C266" s="100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70"/>
      <c r="B267" s="4"/>
      <c r="C267" s="100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71" spans="1:29" ht="10.5" customHeight="1" x14ac:dyDescent="0.25">
      <c r="A271" s="15"/>
      <c r="B271" s="15"/>
      <c r="C271" s="15"/>
      <c r="I271" s="15"/>
      <c r="J271" s="15"/>
      <c r="L271" s="15"/>
      <c r="M271" s="15"/>
      <c r="N271" s="15"/>
      <c r="O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ht="10.5" customHeight="1" x14ac:dyDescent="0.25">
      <c r="A272" s="15"/>
      <c r="B272" s="15"/>
      <c r="C272" s="15"/>
      <c r="I272" s="15"/>
      <c r="J272" s="15"/>
      <c r="L272" s="15"/>
      <c r="M272" s="15"/>
      <c r="N272" s="15"/>
      <c r="O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spans="1:29" ht="10.5" customHeight="1" x14ac:dyDescent="0.25">
      <c r="A273" s="15"/>
      <c r="B273" s="15"/>
      <c r="C273" s="15"/>
      <c r="I273" s="15"/>
      <c r="J273" s="15"/>
      <c r="L273" s="15"/>
      <c r="M273" s="15"/>
      <c r="N273" s="15"/>
      <c r="O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spans="1:29" ht="10.5" customHeight="1" x14ac:dyDescent="0.25">
      <c r="A274" s="15"/>
      <c r="B274" s="15"/>
      <c r="C274" s="15"/>
      <c r="I274" s="15"/>
      <c r="J274" s="15"/>
      <c r="L274" s="15"/>
      <c r="M274" s="15"/>
      <c r="N274" s="15"/>
      <c r="O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0.5" customHeight="1" x14ac:dyDescent="0.25">
      <c r="A275" s="15"/>
      <c r="B275" s="15"/>
      <c r="C275" s="15"/>
      <c r="I275" s="15"/>
      <c r="J275" s="15"/>
      <c r="L275" s="15"/>
      <c r="M275" s="15"/>
      <c r="N275" s="15"/>
      <c r="O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  <row r="276" spans="1:29" ht="10.5" customHeight="1" x14ac:dyDescent="0.25">
      <c r="A276" s="15"/>
      <c r="B276" s="15"/>
      <c r="C276" s="15"/>
      <c r="I276" s="15"/>
      <c r="J276" s="15"/>
      <c r="L276" s="15"/>
      <c r="M276" s="15"/>
      <c r="N276" s="15"/>
      <c r="O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</row>
    <row r="277" spans="1:29" ht="10.5" customHeight="1" x14ac:dyDescent="0.25">
      <c r="A277" s="15"/>
      <c r="B277" s="15"/>
      <c r="C277" s="15"/>
      <c r="I277" s="15"/>
      <c r="J277" s="15"/>
      <c r="L277" s="15"/>
      <c r="M277" s="15"/>
      <c r="N277" s="15"/>
      <c r="O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</row>
    <row r="278" spans="1:29" ht="10.5" customHeight="1" x14ac:dyDescent="0.25">
      <c r="A278" s="15"/>
      <c r="B278" s="15"/>
      <c r="C278" s="15"/>
      <c r="I278" s="15"/>
      <c r="J278" s="15"/>
      <c r="L278" s="15"/>
      <c r="M278" s="15"/>
      <c r="N278" s="15"/>
      <c r="O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</row>
    <row r="279" spans="1:29" ht="10.5" customHeight="1" x14ac:dyDescent="0.25">
      <c r="A279" s="15"/>
      <c r="B279" s="15"/>
      <c r="C279" s="15"/>
      <c r="I279" s="15"/>
      <c r="J279" s="15"/>
      <c r="L279" s="15"/>
      <c r="M279" s="15"/>
      <c r="N279" s="15"/>
      <c r="O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spans="1:29" ht="10.5" customHeight="1" x14ac:dyDescent="0.25">
      <c r="A280" s="15"/>
      <c r="B280" s="15"/>
      <c r="C280" s="15"/>
      <c r="I280" s="15"/>
      <c r="J280" s="15"/>
      <c r="L280" s="15"/>
      <c r="M280" s="15"/>
      <c r="N280" s="15"/>
      <c r="O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</row>
    <row r="281" spans="1:29" ht="10.5" customHeight="1" x14ac:dyDescent="0.25">
      <c r="A281" s="15"/>
      <c r="B281" s="15"/>
      <c r="C281" s="15"/>
      <c r="I281" s="15"/>
      <c r="J281" s="15"/>
      <c r="L281" s="15"/>
      <c r="M281" s="15"/>
      <c r="N281" s="15"/>
      <c r="O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</row>
  </sheetData>
  <sheetProtection algorithmName="SHA-512" hashValue="goJc1XIzsSMCSZgiYkiQNIYGK1olb4kooPSpeLiC8XRO9KGQMWhvVNK637tXg08c1uCrP/xOL4XezwDnk8qJ9w==" saltValue="DkUlmIyXmz8I3nGOMV0qRw==" spinCount="100000" sheet="1" objects="1" scenarios="1" formatColumns="0" formatRows="0"/>
  <dataConsolidate/>
  <mergeCells count="14">
    <mergeCell ref="E111:G111"/>
    <mergeCell ref="A33:A37"/>
    <mergeCell ref="A38:A43"/>
    <mergeCell ref="D62:D63"/>
    <mergeCell ref="F62:F63"/>
    <mergeCell ref="D64:D65"/>
    <mergeCell ref="F64:F65"/>
    <mergeCell ref="A6:A11"/>
    <mergeCell ref="D21:F21"/>
    <mergeCell ref="D24:G24"/>
    <mergeCell ref="H24:H26"/>
    <mergeCell ref="D25:D26"/>
    <mergeCell ref="E25:E26"/>
    <mergeCell ref="F25:F26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 G43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3 G65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9 G106:G108">
      <formula1>900</formula1>
    </dataValidation>
    <dataValidation type="decimal" allowBlank="1" showErrorMessage="1" errorTitle="Ошибка" error="Допускается ввод только действительных чисел!" sqref="G71:G7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7 E68:E69">
      <formula1>900</formula1>
    </dataValidation>
    <dataValidation type="decimal" allowBlank="1" showErrorMessage="1" errorTitle="Ошибка" error="Допускается ввод только действительных чисел!" sqref="G74:G78 G104:G105 G90:G95 G98 G101 G17 G83 G8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09 G33 F8 G37 F40">
      <formula1>900</formula1>
    </dataValidation>
    <dataValidation type="decimal" allowBlank="1" showErrorMessage="1" errorTitle="Ошибка" error="Допускается ввод только неотрицательных чисел!" sqref="G29 G64 G66 G73 G2 G34:G36 G45:G62 G31 G8:G10 G4 G13 G84:G89 G15 G40:G42 G68:G69">
      <formula1>0</formula1>
      <formula2>9.99999999999999E+23</formula2>
    </dataValidation>
  </dataValidations>
  <hyperlinks>
    <hyperlink ref="G79" location="'Форма 4.3.1'!$G$79" tooltip="Кликните по гиперссылке, чтобы перейти по гиперссылке или отредактировать её" display="https://portal.eias.ru/Portal/DownloadPage.aspx?type=12&amp;guid=3637cd45-32ed-4c02-8eb3-188e9b9ea6e3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3">
    <pageSetUpPr fitToPage="1"/>
  </sheetPr>
  <dimension ref="A1:AC292"/>
  <sheetViews>
    <sheetView showGridLines="0" topLeftCell="C51" zoomScaleNormal="100" workbookViewId="0">
      <selection activeCell="G76" sqref="G76"/>
    </sheetView>
  </sheetViews>
  <sheetFormatPr defaultRowHeight="10.5" customHeight="1" x14ac:dyDescent="0.25"/>
  <cols>
    <col min="1" max="1" width="19.140625" style="103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03"/>
      <c r="C1" s="3"/>
      <c r="G1" s="2">
        <v>4</v>
      </c>
      <c r="K1" s="4"/>
      <c r="P1" s="4"/>
    </row>
    <row r="2" spans="1:29" s="2" customFormat="1" ht="22.5" hidden="1" x14ac:dyDescent="0.25">
      <c r="A2" s="103"/>
      <c r="C2" s="5"/>
      <c r="D2" s="6"/>
      <c r="E2" s="7"/>
      <c r="F2" s="10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16"/>
      <c r="D4" s="17"/>
      <c r="E4" s="7"/>
      <c r="F4" s="108" t="s">
        <v>2</v>
      </c>
      <c r="G4" s="18"/>
      <c r="H4" s="19" t="s">
        <v>3</v>
      </c>
      <c r="I4" s="11"/>
    </row>
    <row r="5" spans="1:29" ht="10.5" hidden="1" customHeight="1" x14ac:dyDescent="0.25"/>
    <row r="6" spans="1:29" ht="22.5" hidden="1" x14ac:dyDescent="0.25">
      <c r="A6" s="120"/>
      <c r="B6" s="4" t="s">
        <v>4</v>
      </c>
      <c r="C6" s="16"/>
      <c r="D6" s="21">
        <f>A6</f>
        <v>0</v>
      </c>
      <c r="E6" s="22"/>
      <c r="F6" s="108" t="s">
        <v>5</v>
      </c>
      <c r="G6" s="108" t="s">
        <v>5</v>
      </c>
      <c r="H6" s="19" t="s">
        <v>6</v>
      </c>
      <c r="I6" s="11"/>
    </row>
    <row r="7" spans="1:29" s="2" customFormat="1" ht="11.25" hidden="1" x14ac:dyDescent="0.25">
      <c r="A7" s="120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22.5" hidden="1" x14ac:dyDescent="0.25">
      <c r="A8" s="120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20"/>
      <c r="C9" s="16"/>
      <c r="D9" s="21" t="str">
        <f>A6&amp;".2"</f>
        <v>.2</v>
      </c>
      <c r="E9" s="28" t="s">
        <v>10</v>
      </c>
      <c r="F9" s="108" t="s">
        <v>0</v>
      </c>
      <c r="G9" s="9"/>
      <c r="H9" s="19"/>
      <c r="I9" s="11"/>
    </row>
    <row r="10" spans="1:29" ht="18.75" hidden="1" x14ac:dyDescent="0.25">
      <c r="A10" s="120"/>
      <c r="C10" s="16"/>
      <c r="D10" s="21" t="str">
        <f>A6&amp;".3"</f>
        <v>.3</v>
      </c>
      <c r="E10" s="28" t="s">
        <v>11</v>
      </c>
      <c r="F10" s="108" t="s">
        <v>0</v>
      </c>
      <c r="G10" s="9"/>
      <c r="H10" s="19"/>
      <c r="I10" s="11"/>
    </row>
    <row r="11" spans="1:29" ht="18.75" hidden="1" x14ac:dyDescent="0.25">
      <c r="A11" s="120"/>
      <c r="C11" s="16"/>
      <c r="D11" s="21" t="str">
        <f>A6&amp;".4"</f>
        <v>.4</v>
      </c>
      <c r="E11" s="28" t="s">
        <v>12</v>
      </c>
      <c r="F11" s="108" t="s">
        <v>5</v>
      </c>
      <c r="G11" s="30"/>
      <c r="H11" s="19"/>
      <c r="I11" s="11"/>
    </row>
    <row r="12" spans="1:29" ht="10.5" hidden="1" customHeight="1" x14ac:dyDescent="0.25"/>
    <row r="13" spans="1:29" ht="22.5" hidden="1" x14ac:dyDescent="0.25">
      <c r="C13" s="16"/>
      <c r="D13" s="17"/>
      <c r="E13" s="7"/>
      <c r="F13" s="108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22.5" hidden="1" x14ac:dyDescent="0.25">
      <c r="C15" s="16"/>
      <c r="D15" s="17"/>
      <c r="E15" s="7"/>
      <c r="F15" s="108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18.75" hidden="1" x14ac:dyDescent="0.25">
      <c r="C17" s="16"/>
      <c r="D17" s="17"/>
      <c r="E17" s="7"/>
      <c r="F17" s="108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103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29" t="s">
        <v>18</v>
      </c>
      <c r="E21" s="130"/>
      <c r="F21" s="131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32" t="s">
        <v>19</v>
      </c>
      <c r="E24" s="132"/>
      <c r="F24" s="132"/>
      <c r="G24" s="132"/>
      <c r="H24" s="132" t="s">
        <v>20</v>
      </c>
    </row>
    <row r="25" spans="1:24" ht="101.25" x14ac:dyDescent="0.25">
      <c r="D25" s="132" t="s">
        <v>21</v>
      </c>
      <c r="E25" s="133" t="s">
        <v>22</v>
      </c>
      <c r="F25" s="133" t="s">
        <v>23</v>
      </c>
      <c r="G25" s="36" t="s">
        <v>303</v>
      </c>
      <c r="H25" s="132"/>
    </row>
    <row r="26" spans="1:24" ht="21" customHeight="1" x14ac:dyDescent="0.25">
      <c r="D26" s="132"/>
      <c r="E26" s="133"/>
      <c r="F26" s="133"/>
      <c r="G26" s="109" t="s">
        <v>25</v>
      </c>
      <c r="H26" s="132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33.75" x14ac:dyDescent="0.25">
      <c r="C28" s="16"/>
      <c r="D28" s="17" t="s">
        <v>26</v>
      </c>
      <c r="E28" s="40" t="s">
        <v>29</v>
      </c>
      <c r="F28" s="108" t="s">
        <v>5</v>
      </c>
      <c r="G28" s="41" t="str">
        <f>IF(buhg_flag="да",IF(dateBuhg="","Не указана",dateBuhg),"Не осуществлялась")</f>
        <v>25.03.2020</v>
      </c>
      <c r="H28" s="19" t="s">
        <v>30</v>
      </c>
      <c r="I28" s="11"/>
    </row>
    <row r="29" spans="1:24" ht="22.5" x14ac:dyDescent="0.25">
      <c r="C29" s="16"/>
      <c r="D29" s="17" t="s">
        <v>27</v>
      </c>
      <c r="E29" s="40" t="s">
        <v>31</v>
      </c>
      <c r="F29" s="108" t="s">
        <v>0</v>
      </c>
      <c r="G29" s="42">
        <v>23558.113000000001</v>
      </c>
      <c r="H29" s="19" t="s">
        <v>32</v>
      </c>
      <c r="I29" s="11"/>
    </row>
    <row r="30" spans="1:24" ht="22.5" x14ac:dyDescent="0.25">
      <c r="C30" s="16"/>
      <c r="D30" s="17" t="s">
        <v>28</v>
      </c>
      <c r="E30" s="40" t="s">
        <v>33</v>
      </c>
      <c r="F30" s="108" t="s">
        <v>0</v>
      </c>
      <c r="G30" s="43">
        <f>SUM(G31:G32,G39,G42:G50,G53,G56,G60)</f>
        <v>28955.308999999994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108" t="s">
        <v>0</v>
      </c>
      <c r="G31" s="42">
        <v>0</v>
      </c>
      <c r="H31" s="19"/>
      <c r="I31" s="11"/>
    </row>
    <row r="32" spans="1:24" ht="18.75" x14ac:dyDescent="0.25">
      <c r="C32" s="16"/>
      <c r="D32" s="17" t="s">
        <v>37</v>
      </c>
      <c r="E32" s="44" t="s">
        <v>38</v>
      </c>
      <c r="F32" s="108" t="s">
        <v>0</v>
      </c>
      <c r="G32" s="43">
        <f>SUMIF($E33:$E38,$E7,G33:G38)</f>
        <v>0</v>
      </c>
      <c r="H32" s="19" t="s">
        <v>39</v>
      </c>
      <c r="I32" s="11"/>
    </row>
    <row r="33" spans="1:29" s="53" customFormat="1" ht="5.25" hidden="1" x14ac:dyDescent="0.25">
      <c r="A33" s="119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19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19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19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19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s="2" customFormat="1" ht="18" customHeight="1" x14ac:dyDescent="0.25">
      <c r="A38" s="103"/>
      <c r="C38" s="58"/>
      <c r="D38" s="59"/>
      <c r="E38" s="60" t="s">
        <v>51</v>
      </c>
      <c r="F38" s="61"/>
      <c r="G38" s="62"/>
      <c r="H38" s="63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22.5" x14ac:dyDescent="0.25">
      <c r="A39" s="103"/>
      <c r="C39" s="64"/>
      <c r="D39" s="17" t="s">
        <v>52</v>
      </c>
      <c r="E39" s="44" t="s">
        <v>53</v>
      </c>
      <c r="F39" s="108" t="s">
        <v>0</v>
      </c>
      <c r="G39" s="42">
        <f>1165.874+22.208+167.964</f>
        <v>1356.046</v>
      </c>
      <c r="H39" s="19"/>
      <c r="I39" s="11"/>
      <c r="K39" s="4"/>
      <c r="P39" s="4"/>
      <c r="S39" s="12"/>
      <c r="Y39" s="13"/>
      <c r="Z39" s="13"/>
      <c r="AA39" s="13"/>
      <c r="AB39" s="13"/>
      <c r="AC39" s="13"/>
    </row>
    <row r="40" spans="1:29" s="2" customFormat="1" ht="18.75" x14ac:dyDescent="0.25">
      <c r="A40" s="103"/>
      <c r="C40" s="65"/>
      <c r="D40" s="17" t="s">
        <v>54</v>
      </c>
      <c r="E40" s="66" t="s">
        <v>55</v>
      </c>
      <c r="F40" s="108" t="s">
        <v>56</v>
      </c>
      <c r="G40" s="42">
        <f>G39/G41</f>
        <v>4.9691308713273283</v>
      </c>
      <c r="H40" s="19"/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18.75" x14ac:dyDescent="0.25">
      <c r="A41" s="103"/>
      <c r="C41" s="16"/>
      <c r="D41" s="17" t="s">
        <v>57</v>
      </c>
      <c r="E41" s="66" t="s">
        <v>58</v>
      </c>
      <c r="F41" s="108" t="s">
        <v>59</v>
      </c>
      <c r="G41" s="67">
        <f>268.884+4.01</f>
        <v>272.89400000000001</v>
      </c>
      <c r="H41" s="19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22.5" x14ac:dyDescent="0.25">
      <c r="A42" s="103"/>
      <c r="C42" s="16"/>
      <c r="D42" s="17" t="s">
        <v>60</v>
      </c>
      <c r="E42" s="44" t="s">
        <v>61</v>
      </c>
      <c r="F42" s="108" t="s">
        <v>0</v>
      </c>
      <c r="G42" s="42">
        <f>641.676+718.302+14200.416+1508.942+0.497+0.527</f>
        <v>17070.359999999997</v>
      </c>
      <c r="H42" s="19"/>
      <c r="I42" s="11"/>
      <c r="K42" s="4"/>
      <c r="P42" s="4"/>
      <c r="S42" s="12"/>
      <c r="Y42" s="13"/>
      <c r="Z42" s="13"/>
      <c r="AA42" s="13"/>
      <c r="AB42" s="13"/>
      <c r="AC42" s="13"/>
    </row>
    <row r="43" spans="1:29" s="2" customFormat="1" ht="22.5" x14ac:dyDescent="0.25">
      <c r="A43" s="103"/>
      <c r="C43" s="16"/>
      <c r="D43" s="17" t="s">
        <v>62</v>
      </c>
      <c r="E43" s="44" t="s">
        <v>63</v>
      </c>
      <c r="F43" s="108" t="s">
        <v>0</v>
      </c>
      <c r="G43" s="42">
        <v>825.13499999999999</v>
      </c>
      <c r="H43" s="19"/>
      <c r="I43" s="11"/>
      <c r="K43" s="68"/>
      <c r="L43" s="3"/>
      <c r="M43" s="3"/>
      <c r="P43" s="4"/>
      <c r="S43" s="12"/>
      <c r="Y43" s="13"/>
      <c r="Z43" s="13"/>
      <c r="AA43" s="13"/>
      <c r="AB43" s="13"/>
      <c r="AC43" s="13"/>
    </row>
    <row r="44" spans="1:29" s="2" customFormat="1" ht="22.5" x14ac:dyDescent="0.25">
      <c r="A44" s="103"/>
      <c r="C44" s="65"/>
      <c r="D44" s="17" t="s">
        <v>64</v>
      </c>
      <c r="E44" s="44" t="s">
        <v>65</v>
      </c>
      <c r="F44" s="108" t="s">
        <v>0</v>
      </c>
      <c r="G44" s="42">
        <f>3252.4596+239.6252</f>
        <v>3492.0848000000001</v>
      </c>
      <c r="H44" s="19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103"/>
      <c r="C45" s="16"/>
      <c r="D45" s="17" t="s">
        <v>66</v>
      </c>
      <c r="E45" s="44" t="s">
        <v>67</v>
      </c>
      <c r="F45" s="108" t="s">
        <v>0</v>
      </c>
      <c r="G45" s="42">
        <f>982.8398+72.5071</f>
        <v>1055.3469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22.5" x14ac:dyDescent="0.25">
      <c r="A46" s="103"/>
      <c r="C46" s="65"/>
      <c r="D46" s="17" t="s">
        <v>68</v>
      </c>
      <c r="E46" s="44" t="s">
        <v>69</v>
      </c>
      <c r="F46" s="108" t="s">
        <v>0</v>
      </c>
      <c r="G46" s="42">
        <f>6089.07-G44</f>
        <v>2596.9851999999996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22.5" x14ac:dyDescent="0.25">
      <c r="A47" s="103"/>
      <c r="C47" s="16"/>
      <c r="D47" s="17" t="s">
        <v>70</v>
      </c>
      <c r="E47" s="44" t="s">
        <v>71</v>
      </c>
      <c r="F47" s="108" t="s">
        <v>0</v>
      </c>
      <c r="G47" s="42">
        <f>1842.294-G45</f>
        <v>786.94710000000009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103"/>
      <c r="C48" s="16"/>
      <c r="D48" s="17" t="s">
        <v>72</v>
      </c>
      <c r="E48" s="44" t="s">
        <v>73</v>
      </c>
      <c r="F48" s="108" t="s">
        <v>0</v>
      </c>
      <c r="G48" s="42">
        <v>163.709</v>
      </c>
      <c r="H48" s="19"/>
      <c r="I48" s="11"/>
      <c r="K48" s="68"/>
      <c r="L48" s="3"/>
      <c r="M48" s="3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103"/>
      <c r="C49" s="16"/>
      <c r="D49" s="17" t="s">
        <v>74</v>
      </c>
      <c r="E49" s="44" t="s">
        <v>75</v>
      </c>
      <c r="F49" s="108" t="s">
        <v>0</v>
      </c>
      <c r="G49" s="42">
        <v>0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18.75" x14ac:dyDescent="0.25">
      <c r="A50" s="103"/>
      <c r="C50" s="16"/>
      <c r="D50" s="17" t="s">
        <v>76</v>
      </c>
      <c r="E50" s="44" t="s">
        <v>77</v>
      </c>
      <c r="F50" s="108" t="s">
        <v>0</v>
      </c>
      <c r="G50" s="42">
        <v>0</v>
      </c>
      <c r="H50" s="19" t="s">
        <v>78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18.75" x14ac:dyDescent="0.25">
      <c r="A51" s="103"/>
      <c r="C51" s="16"/>
      <c r="D51" s="17" t="s">
        <v>79</v>
      </c>
      <c r="E51" s="66" t="s">
        <v>80</v>
      </c>
      <c r="F51" s="108" t="s">
        <v>0</v>
      </c>
      <c r="G51" s="42">
        <v>0</v>
      </c>
      <c r="H51" s="19" t="s">
        <v>81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18.75" x14ac:dyDescent="0.25">
      <c r="A52" s="103"/>
      <c r="C52" s="16"/>
      <c r="D52" s="17" t="s">
        <v>82</v>
      </c>
      <c r="E52" s="66" t="s">
        <v>83</v>
      </c>
      <c r="F52" s="108" t="s">
        <v>0</v>
      </c>
      <c r="G52" s="42">
        <v>0</v>
      </c>
      <c r="H52" s="19" t="s">
        <v>84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18.75" x14ac:dyDescent="0.25">
      <c r="A53" s="103"/>
      <c r="C53" s="16"/>
      <c r="D53" s="17" t="s">
        <v>85</v>
      </c>
      <c r="E53" s="44" t="s">
        <v>86</v>
      </c>
      <c r="F53" s="108" t="s">
        <v>0</v>
      </c>
      <c r="G53" s="42">
        <v>0</v>
      </c>
      <c r="H53" s="19" t="s">
        <v>87</v>
      </c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18.75" x14ac:dyDescent="0.25">
      <c r="A54" s="103"/>
      <c r="C54" s="16"/>
      <c r="D54" s="17" t="s">
        <v>88</v>
      </c>
      <c r="E54" s="66" t="s">
        <v>80</v>
      </c>
      <c r="F54" s="108" t="s">
        <v>0</v>
      </c>
      <c r="G54" s="42">
        <v>0</v>
      </c>
      <c r="H54" s="19" t="s">
        <v>89</v>
      </c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18.75" x14ac:dyDescent="0.25">
      <c r="A55" s="103"/>
      <c r="C55" s="16"/>
      <c r="D55" s="17" t="s">
        <v>90</v>
      </c>
      <c r="E55" s="66" t="s">
        <v>83</v>
      </c>
      <c r="F55" s="108" t="s">
        <v>0</v>
      </c>
      <c r="G55" s="42">
        <v>0</v>
      </c>
      <c r="H55" s="19" t="s">
        <v>91</v>
      </c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22.5" x14ac:dyDescent="0.25">
      <c r="A56" s="103"/>
      <c r="C56" s="16"/>
      <c r="D56" s="121" t="s">
        <v>92</v>
      </c>
      <c r="E56" s="44" t="s">
        <v>93</v>
      </c>
      <c r="F56" s="123" t="s">
        <v>0</v>
      </c>
      <c r="G56" s="42">
        <f>344.148+0</f>
        <v>344.14800000000002</v>
      </c>
      <c r="H56" s="19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45" x14ac:dyDescent="0.25">
      <c r="A57" s="103"/>
      <c r="C57" s="16"/>
      <c r="D57" s="122"/>
      <c r="E57" s="66" t="s">
        <v>94</v>
      </c>
      <c r="F57" s="124"/>
      <c r="G57" s="69" t="s">
        <v>95</v>
      </c>
      <c r="H57" s="19"/>
      <c r="I57" s="11"/>
      <c r="K57" s="4" t="e">
        <f ca="1">nerr(MATCH("есть",List01_flag_index_1,0))</f>
        <v>#NAME?</v>
      </c>
      <c r="P57" s="4"/>
      <c r="S57" s="12"/>
      <c r="Y57" s="13"/>
      <c r="Z57" s="13"/>
      <c r="AA57" s="13"/>
      <c r="AB57" s="13"/>
      <c r="AC57" s="13"/>
    </row>
    <row r="58" spans="1:29" s="4" customFormat="1" ht="5.25" hidden="1" x14ac:dyDescent="0.25">
      <c r="A58" s="102"/>
      <c r="C58" s="45"/>
      <c r="D58" s="125"/>
      <c r="E58" s="71"/>
      <c r="F58" s="127"/>
      <c r="G58" s="56"/>
      <c r="H58" s="50"/>
      <c r="S58" s="51"/>
      <c r="Y58" s="52"/>
      <c r="Z58" s="52"/>
      <c r="AA58" s="52"/>
      <c r="AB58" s="52"/>
      <c r="AC58" s="52"/>
    </row>
    <row r="59" spans="1:29" s="4" customFormat="1" ht="5.25" hidden="1" x14ac:dyDescent="0.25">
      <c r="A59" s="102"/>
      <c r="C59" s="45"/>
      <c r="D59" s="126"/>
      <c r="E59" s="72"/>
      <c r="F59" s="128"/>
      <c r="G59" s="73" t="s">
        <v>95</v>
      </c>
      <c r="H59" s="50"/>
      <c r="K59" s="4" t="e">
        <f ca="1">nerr(MATCH("есть",List01_flag_index_2,0))</f>
        <v>#NAME?</v>
      </c>
      <c r="S59" s="51"/>
      <c r="Y59" s="52"/>
      <c r="Z59" s="52"/>
      <c r="AA59" s="52"/>
      <c r="AB59" s="52"/>
      <c r="AC59" s="52"/>
    </row>
    <row r="60" spans="1:29" s="2" customFormat="1" ht="22.5" x14ac:dyDescent="0.25">
      <c r="A60" s="103"/>
      <c r="C60" s="16"/>
      <c r="D60" s="104" t="s">
        <v>96</v>
      </c>
      <c r="E60" s="75" t="s">
        <v>97</v>
      </c>
      <c r="F60" s="105" t="s">
        <v>0</v>
      </c>
      <c r="G60" s="77">
        <f>SUM(G61:G64)</f>
        <v>1264.5469999999998</v>
      </c>
      <c r="H60" s="19" t="s">
        <v>98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18.75" hidden="1" x14ac:dyDescent="0.25">
      <c r="A61" s="103"/>
      <c r="C61" s="16"/>
      <c r="D61" s="6" t="s">
        <v>99</v>
      </c>
      <c r="E61" s="66"/>
      <c r="F61" s="108"/>
      <c r="G61" s="78"/>
      <c r="H61" s="79"/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22.5" x14ac:dyDescent="0.25">
      <c r="A62" s="103"/>
      <c r="C62" s="57" t="s">
        <v>42</v>
      </c>
      <c r="D62" s="6" t="s">
        <v>100</v>
      </c>
      <c r="E62" s="80" t="s">
        <v>101</v>
      </c>
      <c r="F62" s="108" t="s">
        <v>0</v>
      </c>
      <c r="G62" s="9">
        <v>144.148</v>
      </c>
      <c r="H62" s="10" t="s">
        <v>1</v>
      </c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22.5" x14ac:dyDescent="0.25">
      <c r="A63" s="103"/>
      <c r="C63" s="57" t="s">
        <v>42</v>
      </c>
      <c r="D63" s="6" t="s">
        <v>102</v>
      </c>
      <c r="E63" s="80" t="s">
        <v>304</v>
      </c>
      <c r="F63" s="108" t="s">
        <v>0</v>
      </c>
      <c r="G63" s="9">
        <v>1120.3989999999999</v>
      </c>
      <c r="H63" s="10" t="s">
        <v>1</v>
      </c>
      <c r="I63" s="11"/>
      <c r="K63" s="4"/>
      <c r="P63" s="4"/>
      <c r="S63" s="12"/>
      <c r="Y63" s="13"/>
      <c r="Z63" s="13"/>
      <c r="AA63" s="13"/>
      <c r="AB63" s="13"/>
      <c r="AC63" s="13"/>
    </row>
    <row r="64" spans="1:29" s="2" customFormat="1" ht="18.75" x14ac:dyDescent="0.25">
      <c r="A64" s="103"/>
      <c r="C64" s="58"/>
      <c r="D64" s="59"/>
      <c r="E64" s="60" t="s">
        <v>104</v>
      </c>
      <c r="F64" s="61"/>
      <c r="G64" s="62"/>
      <c r="H64" s="63"/>
      <c r="I64" s="11"/>
      <c r="K64" s="4"/>
      <c r="P64" s="4"/>
      <c r="S64" s="12"/>
      <c r="Y64" s="13"/>
      <c r="Z64" s="13"/>
      <c r="AA64" s="13"/>
      <c r="AB64" s="13"/>
      <c r="AC64" s="13"/>
    </row>
    <row r="65" spans="1:29" s="2" customFormat="1" ht="22.5" x14ac:dyDescent="0.25">
      <c r="A65" s="103"/>
      <c r="C65" s="16"/>
      <c r="D65" s="17" t="s">
        <v>105</v>
      </c>
      <c r="E65" s="40" t="s">
        <v>106</v>
      </c>
      <c r="F65" s="108" t="s">
        <v>0</v>
      </c>
      <c r="G65" s="42">
        <f>G29-G30</f>
        <v>-5397.1959999999926</v>
      </c>
      <c r="H65" s="19"/>
      <c r="I65" s="11"/>
      <c r="K65" s="4"/>
      <c r="P65" s="4"/>
      <c r="S65" s="12"/>
      <c r="Y65" s="13"/>
      <c r="Z65" s="13"/>
      <c r="AA65" s="13"/>
      <c r="AB65" s="13"/>
      <c r="AC65" s="13"/>
    </row>
    <row r="66" spans="1:29" s="2" customFormat="1" ht="22.5" x14ac:dyDescent="0.25">
      <c r="A66" s="103"/>
      <c r="C66" s="65"/>
      <c r="D66" s="17" t="s">
        <v>107</v>
      </c>
      <c r="E66" s="40" t="s">
        <v>108</v>
      </c>
      <c r="F66" s="108" t="s">
        <v>0</v>
      </c>
      <c r="G66" s="42">
        <v>0</v>
      </c>
      <c r="H66" s="19" t="s">
        <v>109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33.75" x14ac:dyDescent="0.25">
      <c r="A67" s="103"/>
      <c r="C67" s="16"/>
      <c r="D67" s="17" t="s">
        <v>110</v>
      </c>
      <c r="E67" s="44" t="s">
        <v>111</v>
      </c>
      <c r="F67" s="108" t="s">
        <v>0</v>
      </c>
      <c r="G67" s="42">
        <v>0</v>
      </c>
      <c r="H67" s="1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18.75" x14ac:dyDescent="0.25">
      <c r="A68" s="103"/>
      <c r="C68" s="16"/>
      <c r="D68" s="17" t="s">
        <v>112</v>
      </c>
      <c r="E68" s="40" t="s">
        <v>113</v>
      </c>
      <c r="F68" s="108" t="s">
        <v>0</v>
      </c>
      <c r="G68" s="42">
        <v>0</v>
      </c>
      <c r="H68" s="19" t="s">
        <v>114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22.5" x14ac:dyDescent="0.25">
      <c r="A69" s="103"/>
      <c r="C69" s="16"/>
      <c r="D69" s="17" t="s">
        <v>115</v>
      </c>
      <c r="E69" s="44" t="s">
        <v>116</v>
      </c>
      <c r="F69" s="108" t="s">
        <v>0</v>
      </c>
      <c r="G69" s="42">
        <v>0</v>
      </c>
      <c r="H69" s="19" t="s">
        <v>117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22.5" x14ac:dyDescent="0.25">
      <c r="A70" s="103"/>
      <c r="C70" s="16"/>
      <c r="D70" s="17" t="s">
        <v>118</v>
      </c>
      <c r="E70" s="66" t="s">
        <v>119</v>
      </c>
      <c r="F70" s="108" t="s">
        <v>0</v>
      </c>
      <c r="G70" s="42">
        <v>0</v>
      </c>
      <c r="H70" s="19" t="s">
        <v>120</v>
      </c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103"/>
      <c r="C71" s="16"/>
      <c r="D71" s="17" t="s">
        <v>121</v>
      </c>
      <c r="E71" s="66" t="s">
        <v>122</v>
      </c>
      <c r="F71" s="108" t="s">
        <v>0</v>
      </c>
      <c r="G71" s="42">
        <v>0</v>
      </c>
      <c r="H71" s="19" t="s">
        <v>123</v>
      </c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103"/>
      <c r="C72" s="16"/>
      <c r="D72" s="17" t="s">
        <v>124</v>
      </c>
      <c r="E72" s="44" t="s">
        <v>125</v>
      </c>
      <c r="F72" s="108" t="s">
        <v>0</v>
      </c>
      <c r="G72" s="42">
        <v>0</v>
      </c>
      <c r="H72" s="19"/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33.75" x14ac:dyDescent="0.25">
      <c r="A73" s="103"/>
      <c r="C73" s="16"/>
      <c r="D73" s="17" t="s">
        <v>126</v>
      </c>
      <c r="E73" s="40" t="s">
        <v>127</v>
      </c>
      <c r="F73" s="108" t="s">
        <v>128</v>
      </c>
      <c r="G73" s="82" t="s">
        <v>129</v>
      </c>
      <c r="H73" s="19" t="s">
        <v>130</v>
      </c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45" x14ac:dyDescent="0.25">
      <c r="A74" s="103"/>
      <c r="C74" s="16"/>
      <c r="D74" s="17" t="s">
        <v>131</v>
      </c>
      <c r="E74" s="40" t="s">
        <v>132</v>
      </c>
      <c r="F74" s="108" t="s">
        <v>16</v>
      </c>
      <c r="G74" s="42">
        <f>SUM(G76:G92)</f>
        <v>282.74</v>
      </c>
      <c r="H74" s="19" t="s">
        <v>133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53" customFormat="1" ht="5.25" hidden="1" x14ac:dyDescent="0.25">
      <c r="A75" s="102"/>
      <c r="B75" s="4"/>
      <c r="C75" s="45"/>
      <c r="D75" s="83" t="s">
        <v>134</v>
      </c>
      <c r="E75" s="84"/>
      <c r="F75" s="106"/>
      <c r="G75" s="86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51"/>
      <c r="T75" s="4"/>
      <c r="U75" s="4"/>
      <c r="V75" s="4"/>
      <c r="W75" s="4"/>
      <c r="X75" s="4"/>
      <c r="Y75" s="52"/>
      <c r="Z75" s="52"/>
      <c r="AA75" s="52"/>
      <c r="AB75" s="52"/>
      <c r="AC75" s="52"/>
    </row>
    <row r="76" spans="1:29" ht="18.75" x14ac:dyDescent="0.25">
      <c r="C76" s="57" t="s">
        <v>42</v>
      </c>
      <c r="D76" s="17" t="s">
        <v>135</v>
      </c>
      <c r="E76" s="88" t="s">
        <v>305</v>
      </c>
      <c r="F76" s="108" t="s">
        <v>16</v>
      </c>
      <c r="G76" s="9">
        <v>113.66</v>
      </c>
      <c r="H76" s="19" t="s">
        <v>17</v>
      </c>
      <c r="I76" s="11"/>
    </row>
    <row r="77" spans="1:29" ht="18.75" x14ac:dyDescent="0.25">
      <c r="C77" s="57" t="s">
        <v>42</v>
      </c>
      <c r="D77" s="17" t="s">
        <v>137</v>
      </c>
      <c r="E77" s="88" t="s">
        <v>306</v>
      </c>
      <c r="F77" s="108" t="s">
        <v>16</v>
      </c>
      <c r="G77" s="9">
        <v>22.64</v>
      </c>
      <c r="H77" s="19" t="s">
        <v>17</v>
      </c>
      <c r="I77" s="11"/>
    </row>
    <row r="78" spans="1:29" ht="18.75" x14ac:dyDescent="0.25">
      <c r="C78" s="57" t="s">
        <v>42</v>
      </c>
      <c r="D78" s="17" t="s">
        <v>139</v>
      </c>
      <c r="E78" s="88" t="s">
        <v>307</v>
      </c>
      <c r="F78" s="108" t="s">
        <v>16</v>
      </c>
      <c r="G78" s="9">
        <v>3.98</v>
      </c>
      <c r="H78" s="19" t="s">
        <v>17</v>
      </c>
      <c r="I78" s="11"/>
    </row>
    <row r="79" spans="1:29" ht="18.75" x14ac:dyDescent="0.25">
      <c r="C79" s="57" t="s">
        <v>42</v>
      </c>
      <c r="D79" s="17" t="s">
        <v>141</v>
      </c>
      <c r="E79" s="88" t="s">
        <v>308</v>
      </c>
      <c r="F79" s="108" t="s">
        <v>16</v>
      </c>
      <c r="G79" s="9">
        <v>5.32</v>
      </c>
      <c r="H79" s="19" t="s">
        <v>17</v>
      </c>
      <c r="I79" s="11"/>
    </row>
    <row r="80" spans="1:29" ht="18.75" x14ac:dyDescent="0.25">
      <c r="C80" s="57" t="s">
        <v>42</v>
      </c>
      <c r="D80" s="17" t="s">
        <v>143</v>
      </c>
      <c r="E80" s="88" t="s">
        <v>309</v>
      </c>
      <c r="F80" s="108" t="s">
        <v>16</v>
      </c>
      <c r="G80" s="9">
        <v>89.98</v>
      </c>
      <c r="H80" s="19" t="s">
        <v>17</v>
      </c>
      <c r="I80" s="11"/>
    </row>
    <row r="81" spans="1:29" ht="18.75" x14ac:dyDescent="0.25">
      <c r="C81" s="57" t="s">
        <v>42</v>
      </c>
      <c r="D81" s="17" t="s">
        <v>145</v>
      </c>
      <c r="E81" s="88" t="s">
        <v>310</v>
      </c>
      <c r="F81" s="108" t="s">
        <v>16</v>
      </c>
      <c r="G81" s="9">
        <v>6.45</v>
      </c>
      <c r="H81" s="19" t="s">
        <v>17</v>
      </c>
      <c r="I81" s="11"/>
    </row>
    <row r="82" spans="1:29" ht="18.75" x14ac:dyDescent="0.25">
      <c r="C82" s="57" t="s">
        <v>42</v>
      </c>
      <c r="D82" s="17" t="s">
        <v>147</v>
      </c>
      <c r="E82" s="88" t="s">
        <v>311</v>
      </c>
      <c r="F82" s="108" t="s">
        <v>16</v>
      </c>
      <c r="G82" s="9">
        <v>4.33</v>
      </c>
      <c r="H82" s="19" t="s">
        <v>17</v>
      </c>
      <c r="I82" s="11"/>
    </row>
    <row r="83" spans="1:29" ht="18.75" x14ac:dyDescent="0.25">
      <c r="C83" s="57" t="s">
        <v>42</v>
      </c>
      <c r="D83" s="17" t="s">
        <v>149</v>
      </c>
      <c r="E83" s="88" t="s">
        <v>312</v>
      </c>
      <c r="F83" s="108" t="s">
        <v>16</v>
      </c>
      <c r="G83" s="9">
        <v>5.16</v>
      </c>
      <c r="H83" s="19" t="s">
        <v>17</v>
      </c>
      <c r="I83" s="11"/>
    </row>
    <row r="84" spans="1:29" ht="18.75" x14ac:dyDescent="0.25">
      <c r="C84" s="57" t="s">
        <v>42</v>
      </c>
      <c r="D84" s="17" t="s">
        <v>151</v>
      </c>
      <c r="E84" s="88" t="s">
        <v>313</v>
      </c>
      <c r="F84" s="108" t="s">
        <v>16</v>
      </c>
      <c r="G84" s="9">
        <v>2.0099999999999998</v>
      </c>
      <c r="H84" s="19" t="s">
        <v>17</v>
      </c>
      <c r="I84" s="11"/>
    </row>
    <row r="85" spans="1:29" ht="18.75" x14ac:dyDescent="0.25">
      <c r="C85" s="57" t="s">
        <v>42</v>
      </c>
      <c r="D85" s="17" t="s">
        <v>153</v>
      </c>
      <c r="E85" s="88" t="s">
        <v>314</v>
      </c>
      <c r="F85" s="108" t="s">
        <v>16</v>
      </c>
      <c r="G85" s="9">
        <v>1.08</v>
      </c>
      <c r="H85" s="19" t="s">
        <v>17</v>
      </c>
      <c r="I85" s="11"/>
    </row>
    <row r="86" spans="1:29" ht="18.75" x14ac:dyDescent="0.25">
      <c r="C86" s="57" t="s">
        <v>42</v>
      </c>
      <c r="D86" s="17" t="s">
        <v>155</v>
      </c>
      <c r="E86" s="88" t="s">
        <v>315</v>
      </c>
      <c r="F86" s="108" t="s">
        <v>16</v>
      </c>
      <c r="G86" s="9">
        <v>1.5</v>
      </c>
      <c r="H86" s="19" t="s">
        <v>17</v>
      </c>
      <c r="I86" s="11"/>
    </row>
    <row r="87" spans="1:29" ht="18.75" x14ac:dyDescent="0.25">
      <c r="C87" s="57" t="s">
        <v>42</v>
      </c>
      <c r="D87" s="17" t="s">
        <v>157</v>
      </c>
      <c r="E87" s="88" t="s">
        <v>316</v>
      </c>
      <c r="F87" s="108" t="s">
        <v>16</v>
      </c>
      <c r="G87" s="9">
        <v>3.44</v>
      </c>
      <c r="H87" s="19" t="s">
        <v>17</v>
      </c>
      <c r="I87" s="11"/>
    </row>
    <row r="88" spans="1:29" ht="18.75" x14ac:dyDescent="0.25">
      <c r="C88" s="57" t="s">
        <v>42</v>
      </c>
      <c r="D88" s="17" t="s">
        <v>159</v>
      </c>
      <c r="E88" s="88" t="s">
        <v>317</v>
      </c>
      <c r="F88" s="108" t="s">
        <v>16</v>
      </c>
      <c r="G88" s="9">
        <v>3.32</v>
      </c>
      <c r="H88" s="19" t="s">
        <v>17</v>
      </c>
      <c r="I88" s="11"/>
    </row>
    <row r="89" spans="1:29" ht="18.75" x14ac:dyDescent="0.25">
      <c r="C89" s="57" t="s">
        <v>42</v>
      </c>
      <c r="D89" s="17" t="s">
        <v>161</v>
      </c>
      <c r="E89" s="88" t="s">
        <v>318</v>
      </c>
      <c r="F89" s="108" t="s">
        <v>16</v>
      </c>
      <c r="G89" s="9">
        <v>0.76</v>
      </c>
      <c r="H89" s="19" t="s">
        <v>17</v>
      </c>
      <c r="I89" s="11"/>
    </row>
    <row r="90" spans="1:29" ht="18.75" x14ac:dyDescent="0.25">
      <c r="C90" s="57" t="s">
        <v>42</v>
      </c>
      <c r="D90" s="17" t="s">
        <v>163</v>
      </c>
      <c r="E90" s="88" t="s">
        <v>319</v>
      </c>
      <c r="F90" s="108" t="s">
        <v>16</v>
      </c>
      <c r="G90" s="9">
        <v>0.47</v>
      </c>
      <c r="H90" s="19" t="s">
        <v>17</v>
      </c>
      <c r="I90" s="11"/>
    </row>
    <row r="91" spans="1:29" ht="18.75" x14ac:dyDescent="0.25">
      <c r="C91" s="57" t="s">
        <v>42</v>
      </c>
      <c r="D91" s="17" t="s">
        <v>165</v>
      </c>
      <c r="E91" s="88" t="s">
        <v>320</v>
      </c>
      <c r="F91" s="108" t="s">
        <v>16</v>
      </c>
      <c r="G91" s="9">
        <v>13.32</v>
      </c>
      <c r="H91" s="19" t="s">
        <v>17</v>
      </c>
      <c r="I91" s="11"/>
    </row>
    <row r="92" spans="1:29" ht="18.75" x14ac:dyDescent="0.25">
      <c r="C92" s="57" t="s">
        <v>42</v>
      </c>
      <c r="D92" s="17" t="s">
        <v>167</v>
      </c>
      <c r="E92" s="88" t="s">
        <v>174</v>
      </c>
      <c r="F92" s="108" t="s">
        <v>16</v>
      </c>
      <c r="G92" s="9">
        <v>5.32</v>
      </c>
      <c r="H92" s="19" t="s">
        <v>17</v>
      </c>
      <c r="I92" s="11"/>
    </row>
    <row r="93" spans="1:29" ht="22.5" x14ac:dyDescent="0.25">
      <c r="C93" s="58"/>
      <c r="D93" s="59"/>
      <c r="E93" s="89" t="s">
        <v>175</v>
      </c>
      <c r="F93" s="61"/>
      <c r="G93" s="62"/>
      <c r="H93" s="90" t="s">
        <v>176</v>
      </c>
      <c r="I93" s="11"/>
    </row>
    <row r="94" spans="1:29" s="2" customFormat="1" ht="22.5" x14ac:dyDescent="0.25">
      <c r="A94" s="103"/>
      <c r="C94" s="16"/>
      <c r="D94" s="17" t="s">
        <v>177</v>
      </c>
      <c r="E94" s="44" t="s">
        <v>178</v>
      </c>
      <c r="F94" s="108" t="s">
        <v>16</v>
      </c>
      <c r="G94" s="42">
        <f>28.3624-5.3321</f>
        <v>23.0303</v>
      </c>
      <c r="H94" s="19" t="s">
        <v>179</v>
      </c>
      <c r="I94" s="11"/>
      <c r="K94" s="4"/>
      <c r="P94" s="4"/>
      <c r="S94" s="12"/>
      <c r="Y94" s="13"/>
      <c r="Z94" s="13"/>
      <c r="AA94" s="13"/>
      <c r="AB94" s="13"/>
      <c r="AC94" s="13"/>
    </row>
    <row r="95" spans="1:29" s="2" customFormat="1" ht="22.5" x14ac:dyDescent="0.25">
      <c r="A95" s="103"/>
      <c r="C95" s="16"/>
      <c r="D95" s="17" t="s">
        <v>180</v>
      </c>
      <c r="E95" s="44" t="s">
        <v>181</v>
      </c>
      <c r="F95" s="108" t="s">
        <v>182</v>
      </c>
      <c r="G95" s="67">
        <v>0</v>
      </c>
      <c r="H95" s="19" t="s">
        <v>183</v>
      </c>
      <c r="I95" s="11"/>
      <c r="K95" s="4"/>
      <c r="P95" s="4"/>
      <c r="S95" s="12"/>
      <c r="Y95" s="13"/>
      <c r="Z95" s="13"/>
      <c r="AA95" s="13"/>
      <c r="AB95" s="13"/>
      <c r="AC95" s="13"/>
    </row>
    <row r="96" spans="1:29" s="2" customFormat="1" ht="18.75" x14ac:dyDescent="0.25">
      <c r="A96" s="103"/>
      <c r="C96" s="16"/>
      <c r="D96" s="17" t="s">
        <v>184</v>
      </c>
      <c r="E96" s="44" t="s">
        <v>185</v>
      </c>
      <c r="F96" s="108" t="s">
        <v>182</v>
      </c>
      <c r="G96" s="18"/>
      <c r="H96" s="19" t="s">
        <v>186</v>
      </c>
      <c r="I96" s="11"/>
      <c r="K96" s="4"/>
      <c r="P96" s="4"/>
      <c r="S96" s="12"/>
      <c r="Y96" s="13"/>
      <c r="Z96" s="13"/>
      <c r="AA96" s="13"/>
      <c r="AB96" s="13"/>
      <c r="AC96" s="13"/>
    </row>
    <row r="97" spans="1:29" s="2" customFormat="1" ht="33.75" x14ac:dyDescent="0.25">
      <c r="A97" s="103"/>
      <c r="C97" s="16"/>
      <c r="D97" s="17" t="s">
        <v>187</v>
      </c>
      <c r="E97" s="44" t="s">
        <v>188</v>
      </c>
      <c r="F97" s="108" t="s">
        <v>182</v>
      </c>
      <c r="G97" s="67">
        <v>0</v>
      </c>
      <c r="H97" s="19" t="s">
        <v>189</v>
      </c>
      <c r="I97" s="11"/>
      <c r="K97" s="4"/>
      <c r="P97" s="4"/>
      <c r="S97" s="12"/>
      <c r="Y97" s="13"/>
      <c r="Z97" s="13"/>
      <c r="AA97" s="13"/>
      <c r="AB97" s="13"/>
      <c r="AC97" s="13"/>
    </row>
    <row r="98" spans="1:29" s="2" customFormat="1" ht="18.75" x14ac:dyDescent="0.25">
      <c r="A98" s="103"/>
      <c r="C98" s="16"/>
      <c r="D98" s="17" t="s">
        <v>190</v>
      </c>
      <c r="E98" s="66" t="s">
        <v>191</v>
      </c>
      <c r="F98" s="108" t="s">
        <v>182</v>
      </c>
      <c r="G98" s="67">
        <v>0</v>
      </c>
      <c r="H98" s="19"/>
      <c r="I98" s="11"/>
      <c r="K98" s="4"/>
      <c r="P98" s="4"/>
      <c r="S98" s="12"/>
      <c r="Y98" s="13"/>
      <c r="Z98" s="13"/>
      <c r="AA98" s="13"/>
      <c r="AB98" s="13"/>
      <c r="AC98" s="13"/>
    </row>
    <row r="99" spans="1:29" s="2" customFormat="1" ht="45" x14ac:dyDescent="0.25">
      <c r="A99" s="103"/>
      <c r="C99" s="16"/>
      <c r="D99" s="17" t="s">
        <v>192</v>
      </c>
      <c r="E99" s="28" t="s">
        <v>193</v>
      </c>
      <c r="F99" s="108" t="s">
        <v>182</v>
      </c>
      <c r="G99" s="67">
        <v>0</v>
      </c>
      <c r="H99" s="19"/>
      <c r="I99" s="11"/>
      <c r="K99" s="4"/>
      <c r="P99" s="4"/>
      <c r="S99" s="12"/>
      <c r="Y99" s="13"/>
      <c r="Z99" s="13"/>
      <c r="AA99" s="13"/>
      <c r="AB99" s="13"/>
      <c r="AC99" s="13"/>
    </row>
    <row r="100" spans="1:29" s="2" customFormat="1" ht="22.5" x14ac:dyDescent="0.25">
      <c r="A100" s="103"/>
      <c r="C100" s="16"/>
      <c r="D100" s="17" t="s">
        <v>194</v>
      </c>
      <c r="E100" s="44" t="s">
        <v>195</v>
      </c>
      <c r="F100" s="108" t="s">
        <v>182</v>
      </c>
      <c r="G100" s="67">
        <v>0</v>
      </c>
      <c r="H100" s="19"/>
      <c r="I100" s="11"/>
      <c r="K100" s="4"/>
      <c r="P100" s="4"/>
      <c r="S100" s="12"/>
      <c r="Y100" s="13"/>
      <c r="Z100" s="13"/>
      <c r="AA100" s="13"/>
      <c r="AB100" s="13"/>
      <c r="AC100" s="13"/>
    </row>
    <row r="101" spans="1:29" s="2" customFormat="1" ht="22.5" x14ac:dyDescent="0.25">
      <c r="A101" s="103"/>
      <c r="C101" s="16"/>
      <c r="D101" s="17" t="s">
        <v>196</v>
      </c>
      <c r="E101" s="40" t="s">
        <v>197</v>
      </c>
      <c r="F101" s="108" t="s">
        <v>198</v>
      </c>
      <c r="G101" s="42">
        <v>0</v>
      </c>
      <c r="H101" s="19"/>
      <c r="I101" s="11"/>
      <c r="K101" s="4"/>
      <c r="P101" s="4"/>
      <c r="S101" s="12"/>
      <c r="Y101" s="13"/>
      <c r="Z101" s="13"/>
      <c r="AA101" s="13"/>
      <c r="AB101" s="13"/>
      <c r="AC101" s="13"/>
    </row>
    <row r="102" spans="1:29" s="2" customFormat="1" ht="22.5" x14ac:dyDescent="0.25">
      <c r="A102" s="103"/>
      <c r="C102" s="16"/>
      <c r="D102" s="17" t="s">
        <v>199</v>
      </c>
      <c r="E102" s="40" t="s">
        <v>200</v>
      </c>
      <c r="F102" s="108" t="s">
        <v>201</v>
      </c>
      <c r="G102" s="42">
        <v>0</v>
      </c>
      <c r="H102" s="19"/>
      <c r="I102" s="11"/>
      <c r="K102" s="4"/>
      <c r="P102" s="4"/>
      <c r="S102" s="12"/>
      <c r="Y102" s="13"/>
      <c r="Z102" s="13"/>
      <c r="AA102" s="13"/>
      <c r="AB102" s="13"/>
      <c r="AC102" s="13"/>
    </row>
    <row r="103" spans="1:29" s="2" customFormat="1" ht="22.5" x14ac:dyDescent="0.25">
      <c r="A103" s="103"/>
      <c r="C103" s="16"/>
      <c r="D103" s="17" t="s">
        <v>202</v>
      </c>
      <c r="E103" s="44" t="s">
        <v>203</v>
      </c>
      <c r="F103" s="108" t="s">
        <v>201</v>
      </c>
      <c r="G103" s="42">
        <v>0</v>
      </c>
      <c r="H103" s="19" t="s">
        <v>204</v>
      </c>
      <c r="I103" s="11"/>
      <c r="K103" s="4"/>
      <c r="P103" s="4"/>
      <c r="S103" s="12"/>
      <c r="Y103" s="13"/>
      <c r="Z103" s="13"/>
      <c r="AA103" s="13"/>
      <c r="AB103" s="13"/>
      <c r="AC103" s="13"/>
    </row>
    <row r="104" spans="1:29" ht="22.5" x14ac:dyDescent="0.25">
      <c r="C104" s="16"/>
      <c r="D104" s="17" t="s">
        <v>205</v>
      </c>
      <c r="E104" s="40" t="s">
        <v>206</v>
      </c>
      <c r="F104" s="108" t="s">
        <v>207</v>
      </c>
      <c r="G104" s="42">
        <v>14</v>
      </c>
      <c r="H104" s="19"/>
      <c r="I104" s="11"/>
    </row>
    <row r="105" spans="1:29" ht="22.5" x14ac:dyDescent="0.25">
      <c r="C105" s="16"/>
      <c r="D105" s="17" t="s">
        <v>208</v>
      </c>
      <c r="E105" s="40" t="s">
        <v>209</v>
      </c>
      <c r="F105" s="108" t="s">
        <v>207</v>
      </c>
      <c r="G105" s="42">
        <v>4</v>
      </c>
      <c r="H105" s="19"/>
      <c r="I105" s="11"/>
    </row>
    <row r="106" spans="1:29" ht="56.25" x14ac:dyDescent="0.25">
      <c r="C106" s="16"/>
      <c r="D106" s="17" t="s">
        <v>210</v>
      </c>
      <c r="E106" s="40" t="s">
        <v>211</v>
      </c>
      <c r="F106" s="108" t="s">
        <v>2</v>
      </c>
      <c r="G106" s="67">
        <v>0</v>
      </c>
      <c r="H106" s="19" t="s">
        <v>212</v>
      </c>
      <c r="I106" s="11"/>
    </row>
    <row r="107" spans="1:29" s="53" customFormat="1" ht="5.25" hidden="1" x14ac:dyDescent="0.25">
      <c r="A107" s="102"/>
      <c r="B107" s="4"/>
      <c r="C107" s="45"/>
      <c r="D107" s="91" t="s">
        <v>213</v>
      </c>
      <c r="E107" s="92"/>
      <c r="F107" s="106"/>
      <c r="G107" s="86"/>
      <c r="H107" s="8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51"/>
      <c r="T107" s="4"/>
      <c r="U107" s="4"/>
      <c r="V107" s="4"/>
      <c r="W107" s="4"/>
      <c r="X107" s="4"/>
      <c r="Y107" s="52"/>
      <c r="Z107" s="52"/>
      <c r="AA107" s="52"/>
      <c r="AB107" s="52"/>
      <c r="AC107" s="52"/>
    </row>
    <row r="108" spans="1:29" ht="22.5" x14ac:dyDescent="0.25">
      <c r="C108" s="58"/>
      <c r="D108" s="59"/>
      <c r="E108" s="89" t="s">
        <v>175</v>
      </c>
      <c r="F108" s="61"/>
      <c r="G108" s="62"/>
      <c r="H108" s="90" t="s">
        <v>234</v>
      </c>
      <c r="I108" s="11"/>
    </row>
    <row r="109" spans="1:29" ht="45" x14ac:dyDescent="0.25">
      <c r="C109" s="16"/>
      <c r="D109" s="17" t="s">
        <v>235</v>
      </c>
      <c r="E109" s="40" t="s">
        <v>236</v>
      </c>
      <c r="F109" s="108" t="s">
        <v>13</v>
      </c>
      <c r="G109" s="67">
        <v>0</v>
      </c>
      <c r="H109" s="19" t="s">
        <v>237</v>
      </c>
      <c r="I109" s="11"/>
    </row>
    <row r="110" spans="1:29" s="53" customFormat="1" ht="5.25" hidden="1" x14ac:dyDescent="0.25">
      <c r="A110" s="102"/>
      <c r="B110" s="4"/>
      <c r="C110" s="45"/>
      <c r="D110" s="83" t="s">
        <v>238</v>
      </c>
      <c r="E110" s="84"/>
      <c r="F110" s="106"/>
      <c r="G110" s="86"/>
      <c r="H110" s="8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51"/>
      <c r="T110" s="4"/>
      <c r="U110" s="4"/>
      <c r="V110" s="4"/>
      <c r="W110" s="4"/>
      <c r="X110" s="4"/>
      <c r="Y110" s="52"/>
      <c r="Z110" s="52"/>
      <c r="AA110" s="52"/>
      <c r="AB110" s="52"/>
      <c r="AC110" s="52"/>
    </row>
    <row r="111" spans="1:29" ht="22.5" x14ac:dyDescent="0.25">
      <c r="C111" s="58"/>
      <c r="D111" s="59"/>
      <c r="E111" s="89" t="s">
        <v>175</v>
      </c>
      <c r="F111" s="61"/>
      <c r="G111" s="62"/>
      <c r="H111" s="90" t="s">
        <v>259</v>
      </c>
      <c r="I111" s="11"/>
    </row>
    <row r="112" spans="1:29" ht="33.75" x14ac:dyDescent="0.25">
      <c r="C112" s="16"/>
      <c r="D112" s="17" t="s">
        <v>260</v>
      </c>
      <c r="E112" s="40" t="s">
        <v>261</v>
      </c>
      <c r="F112" s="108" t="s">
        <v>13</v>
      </c>
      <c r="G112" s="67">
        <v>0</v>
      </c>
      <c r="H112" s="19" t="s">
        <v>262</v>
      </c>
      <c r="I112" s="11"/>
    </row>
    <row r="113" spans="1:29" s="53" customFormat="1" ht="5.25" hidden="1" x14ac:dyDescent="0.25">
      <c r="A113" s="102"/>
      <c r="B113" s="4"/>
      <c r="C113" s="45"/>
      <c r="D113" s="83" t="s">
        <v>263</v>
      </c>
      <c r="E113" s="84"/>
      <c r="F113" s="106"/>
      <c r="G113" s="86"/>
      <c r="H113" s="8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51"/>
      <c r="T113" s="4"/>
      <c r="U113" s="4"/>
      <c r="V113" s="4"/>
      <c r="W113" s="4"/>
      <c r="X113" s="4"/>
      <c r="Y113" s="52"/>
      <c r="Z113" s="52"/>
      <c r="AA113" s="52"/>
      <c r="AB113" s="52"/>
      <c r="AC113" s="52"/>
    </row>
    <row r="114" spans="1:29" ht="22.5" x14ac:dyDescent="0.25">
      <c r="C114" s="58"/>
      <c r="D114" s="59"/>
      <c r="E114" s="89" t="s">
        <v>175</v>
      </c>
      <c r="F114" s="61"/>
      <c r="G114" s="62"/>
      <c r="H114" s="90" t="s">
        <v>284</v>
      </c>
      <c r="I114" s="11"/>
    </row>
    <row r="115" spans="1:29" ht="33.75" x14ac:dyDescent="0.25">
      <c r="C115" s="16"/>
      <c r="D115" s="17" t="s">
        <v>285</v>
      </c>
      <c r="E115" s="40" t="s">
        <v>286</v>
      </c>
      <c r="F115" s="108" t="s">
        <v>287</v>
      </c>
      <c r="G115" s="42">
        <v>0</v>
      </c>
      <c r="H115" s="19" t="s">
        <v>288</v>
      </c>
      <c r="I115" s="11"/>
    </row>
    <row r="116" spans="1:29" ht="33.75" x14ac:dyDescent="0.25">
      <c r="C116" s="16"/>
      <c r="D116" s="17" t="s">
        <v>289</v>
      </c>
      <c r="E116" s="40" t="s">
        <v>290</v>
      </c>
      <c r="F116" s="108" t="s">
        <v>291</v>
      </c>
      <c r="G116" s="42">
        <v>0</v>
      </c>
      <c r="H116" s="19" t="s">
        <v>288</v>
      </c>
      <c r="I116" s="11"/>
    </row>
    <row r="117" spans="1:29" ht="67.5" x14ac:dyDescent="0.25">
      <c r="C117" s="16"/>
      <c r="D117" s="17" t="s">
        <v>292</v>
      </c>
      <c r="E117" s="40" t="s">
        <v>293</v>
      </c>
      <c r="F117" s="108" t="s">
        <v>128</v>
      </c>
      <c r="G117" s="93"/>
      <c r="H117" s="19" t="s">
        <v>294</v>
      </c>
      <c r="I117" s="11"/>
    </row>
    <row r="118" spans="1:29" ht="22.5" x14ac:dyDescent="0.25">
      <c r="C118" s="16"/>
      <c r="D118" s="17" t="s">
        <v>295</v>
      </c>
      <c r="E118" s="44" t="s">
        <v>296</v>
      </c>
      <c r="F118" s="108" t="s">
        <v>128</v>
      </c>
      <c r="G118" s="93"/>
      <c r="H118" s="19" t="s">
        <v>294</v>
      </c>
      <c r="I118" s="11"/>
    </row>
    <row r="119" spans="1:29" ht="22.5" x14ac:dyDescent="0.25">
      <c r="C119" s="16"/>
      <c r="D119" s="17" t="s">
        <v>297</v>
      </c>
      <c r="E119" s="44" t="s">
        <v>298</v>
      </c>
      <c r="F119" s="108" t="s">
        <v>128</v>
      </c>
      <c r="G119" s="93"/>
      <c r="H119" s="19" t="s">
        <v>294</v>
      </c>
      <c r="I119" s="11"/>
    </row>
    <row r="120" spans="1:29" s="53" customFormat="1" ht="5.25" hidden="1" x14ac:dyDescent="0.25">
      <c r="A120" s="102"/>
      <c r="B120" s="4"/>
      <c r="C120" s="45"/>
      <c r="D120" s="94"/>
      <c r="E120" s="95"/>
      <c r="F120" s="107"/>
      <c r="G120" s="97"/>
      <c r="H120" s="9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51"/>
      <c r="T120" s="4"/>
      <c r="U120" s="4"/>
      <c r="V120" s="4"/>
      <c r="W120" s="4"/>
      <c r="X120" s="4"/>
      <c r="Y120" s="52"/>
      <c r="Z120" s="52"/>
      <c r="AA120" s="52"/>
      <c r="AB120" s="52"/>
      <c r="AC120" s="52"/>
    </row>
    <row r="121" spans="1:29" ht="10.5" customHeight="1" x14ac:dyDescent="0.25">
      <c r="C121" s="16"/>
    </row>
    <row r="122" spans="1:29" ht="12.75" x14ac:dyDescent="0.25">
      <c r="C122" s="16"/>
      <c r="D122" s="98">
        <v>1</v>
      </c>
      <c r="E122" s="118" t="s">
        <v>299</v>
      </c>
      <c r="F122" s="118"/>
      <c r="G122" s="118"/>
      <c r="H122" s="99"/>
    </row>
    <row r="123" spans="1:29" s="53" customFormat="1" ht="11.25" x14ac:dyDescent="0.25">
      <c r="A123" s="102"/>
      <c r="B123" s="4"/>
      <c r="C123" s="100"/>
      <c r="E123" s="101" t="s">
        <v>300</v>
      </c>
      <c r="F123" s="15"/>
      <c r="G123" s="15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52"/>
      <c r="AA123" s="52"/>
      <c r="AB123" s="52"/>
      <c r="AC123" s="52"/>
    </row>
    <row r="124" spans="1:29" s="53" customFormat="1" ht="10.5" customHeight="1" x14ac:dyDescent="0.25">
      <c r="A124" s="102"/>
      <c r="B124" s="4"/>
      <c r="C124" s="100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102"/>
      <c r="B125" s="4"/>
      <c r="C125" s="100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102"/>
      <c r="B126" s="4"/>
      <c r="C126" s="100"/>
      <c r="G126" s="52" t="str">
        <f>IF(G29-G30 &lt;&gt;G65,"WARNING","")</f>
        <v/>
      </c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102"/>
      <c r="B127" s="4"/>
      <c r="C127" s="100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102"/>
      <c r="B128" s="4"/>
      <c r="C128" s="100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102"/>
      <c r="B129" s="4"/>
      <c r="C129" s="100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102"/>
      <c r="B130" s="4"/>
      <c r="C130" s="100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102"/>
      <c r="B131" s="4"/>
      <c r="C131" s="100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102"/>
      <c r="B132" s="4"/>
      <c r="C132" s="100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102"/>
      <c r="B133" s="4"/>
      <c r="C133" s="100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102"/>
      <c r="B134" s="4"/>
      <c r="C134" s="100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102"/>
      <c r="B135" s="4"/>
      <c r="C135" s="100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102"/>
      <c r="B136" s="4"/>
      <c r="C136" s="100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102"/>
      <c r="B137" s="4"/>
      <c r="C137" s="100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102"/>
      <c r="B138" s="4"/>
      <c r="C138" s="100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102"/>
      <c r="B139" s="4"/>
      <c r="C139" s="100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102"/>
      <c r="B140" s="4"/>
      <c r="C140" s="100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102"/>
      <c r="B141" s="4"/>
      <c r="C141" s="100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102"/>
      <c r="B142" s="4"/>
      <c r="C142" s="100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102"/>
      <c r="B143" s="4"/>
      <c r="C143" s="100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102"/>
      <c r="B144" s="4"/>
      <c r="C144" s="100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102"/>
      <c r="B145" s="4"/>
      <c r="C145" s="100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102"/>
      <c r="B146" s="4"/>
      <c r="C146" s="100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102"/>
      <c r="B147" s="4"/>
      <c r="C147" s="100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102"/>
      <c r="B148" s="4"/>
      <c r="C148" s="100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102"/>
      <c r="B149" s="4"/>
      <c r="C149" s="100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102"/>
      <c r="B150" s="4"/>
      <c r="C150" s="100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102"/>
      <c r="B151" s="4"/>
      <c r="C151" s="100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102"/>
      <c r="B152" s="4"/>
      <c r="C152" s="100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102"/>
      <c r="B153" s="4"/>
      <c r="C153" s="100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102"/>
      <c r="B154" s="4"/>
      <c r="C154" s="100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102"/>
      <c r="B155" s="4"/>
      <c r="C155" s="100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102"/>
      <c r="B156" s="4"/>
      <c r="C156" s="100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102"/>
      <c r="B157" s="4"/>
      <c r="C157" s="100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102"/>
      <c r="B158" s="4"/>
      <c r="C158" s="100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102"/>
      <c r="B159" s="4"/>
      <c r="C159" s="100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102"/>
      <c r="B160" s="4"/>
      <c r="C160" s="100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102"/>
      <c r="B161" s="4"/>
      <c r="C161" s="100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102"/>
      <c r="B162" s="4"/>
      <c r="C162" s="100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102"/>
      <c r="B163" s="4"/>
      <c r="C163" s="100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102"/>
      <c r="B164" s="4"/>
      <c r="C164" s="100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102"/>
      <c r="B165" s="4"/>
      <c r="C165" s="100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102"/>
      <c r="B166" s="4"/>
      <c r="C166" s="100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102"/>
      <c r="B167" s="4"/>
      <c r="C167" s="100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102"/>
      <c r="B168" s="4"/>
      <c r="C168" s="100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102"/>
      <c r="B169" s="4"/>
      <c r="C169" s="100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102"/>
      <c r="B170" s="4"/>
      <c r="C170" s="100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102"/>
      <c r="B171" s="4"/>
      <c r="C171" s="100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102"/>
      <c r="B172" s="4"/>
      <c r="C172" s="100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102"/>
      <c r="B173" s="4"/>
      <c r="C173" s="100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102"/>
      <c r="B174" s="4"/>
      <c r="C174" s="100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102"/>
      <c r="B175" s="4"/>
      <c r="C175" s="100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102"/>
      <c r="B176" s="4"/>
      <c r="C176" s="100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102"/>
      <c r="B177" s="4"/>
      <c r="C177" s="100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102"/>
      <c r="B178" s="4"/>
      <c r="C178" s="100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102"/>
      <c r="B179" s="4"/>
      <c r="C179" s="100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102"/>
      <c r="B180" s="4"/>
      <c r="C180" s="100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102"/>
      <c r="B181" s="4"/>
      <c r="C181" s="100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102"/>
      <c r="B182" s="4"/>
      <c r="C182" s="100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102"/>
      <c r="B183" s="4"/>
      <c r="C183" s="100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102"/>
      <c r="B184" s="4"/>
      <c r="C184" s="100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102"/>
      <c r="B185" s="4"/>
      <c r="C185" s="100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102"/>
      <c r="B186" s="4"/>
      <c r="C186" s="100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102"/>
      <c r="B187" s="4"/>
      <c r="C187" s="100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102"/>
      <c r="B188" s="4"/>
      <c r="C188" s="100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102"/>
      <c r="B189" s="4"/>
      <c r="C189" s="100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102"/>
      <c r="B190" s="4"/>
      <c r="C190" s="100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102"/>
      <c r="B191" s="4"/>
      <c r="C191" s="100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102"/>
      <c r="B192" s="4"/>
      <c r="C192" s="100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102"/>
      <c r="B193" s="4"/>
      <c r="C193" s="100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102"/>
      <c r="B194" s="4"/>
      <c r="C194" s="100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102"/>
      <c r="B195" s="4"/>
      <c r="C195" s="100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102"/>
      <c r="B196" s="4"/>
      <c r="C196" s="100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102"/>
      <c r="B197" s="4"/>
      <c r="C197" s="100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102"/>
      <c r="B198" s="4"/>
      <c r="C198" s="100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102"/>
      <c r="B199" s="4"/>
      <c r="C199" s="100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102"/>
      <c r="B200" s="4"/>
      <c r="C200" s="100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102"/>
      <c r="B201" s="4"/>
      <c r="C201" s="100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102"/>
      <c r="B202" s="4"/>
      <c r="C202" s="100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102"/>
      <c r="B203" s="4"/>
      <c r="C203" s="100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102"/>
      <c r="B204" s="4"/>
      <c r="C204" s="100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102"/>
      <c r="B205" s="4"/>
      <c r="C205" s="100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102"/>
      <c r="B206" s="4"/>
      <c r="C206" s="100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102"/>
      <c r="B207" s="4"/>
      <c r="C207" s="100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102"/>
      <c r="B208" s="4"/>
      <c r="C208" s="100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102"/>
      <c r="B209" s="4"/>
      <c r="C209" s="100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102"/>
      <c r="B210" s="4"/>
      <c r="C210" s="100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102"/>
      <c r="B211" s="4"/>
      <c r="C211" s="100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102"/>
      <c r="B212" s="4"/>
      <c r="C212" s="100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102"/>
      <c r="B213" s="4"/>
      <c r="C213" s="100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102"/>
      <c r="B214" s="4"/>
      <c r="C214" s="100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102"/>
      <c r="B215" s="4"/>
      <c r="C215" s="100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102"/>
      <c r="B216" s="4"/>
      <c r="C216" s="100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102"/>
      <c r="B217" s="4"/>
      <c r="C217" s="100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102"/>
      <c r="B218" s="4"/>
      <c r="C218" s="100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102"/>
      <c r="B219" s="4"/>
      <c r="C219" s="100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102"/>
      <c r="B220" s="4"/>
      <c r="C220" s="100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102"/>
      <c r="B221" s="4"/>
      <c r="C221" s="100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102"/>
      <c r="B222" s="4"/>
      <c r="C222" s="100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102"/>
      <c r="B223" s="4"/>
      <c r="C223" s="100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102"/>
      <c r="B224" s="4"/>
      <c r="C224" s="100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102"/>
      <c r="B225" s="4"/>
      <c r="C225" s="100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102"/>
      <c r="B226" s="4"/>
      <c r="C226" s="100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102"/>
      <c r="B227" s="4"/>
      <c r="C227" s="100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102"/>
      <c r="B228" s="4"/>
      <c r="C228" s="100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102"/>
      <c r="B229" s="4"/>
      <c r="C229" s="100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102"/>
      <c r="B230" s="4"/>
      <c r="C230" s="100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102"/>
      <c r="B231" s="4"/>
      <c r="C231" s="100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102"/>
      <c r="B232" s="4"/>
      <c r="C232" s="100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102"/>
      <c r="B233" s="4"/>
      <c r="C233" s="100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102"/>
      <c r="B234" s="4"/>
      <c r="C234" s="100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102"/>
      <c r="B235" s="4"/>
      <c r="C235" s="100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102"/>
      <c r="B236" s="4"/>
      <c r="C236" s="100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102"/>
      <c r="B237" s="4"/>
      <c r="C237" s="100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102"/>
      <c r="B238" s="4"/>
      <c r="C238" s="100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102"/>
      <c r="B239" s="4"/>
      <c r="C239" s="100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102"/>
      <c r="B240" s="4"/>
      <c r="C240" s="100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102"/>
      <c r="B241" s="4"/>
      <c r="C241" s="100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102"/>
      <c r="B242" s="4"/>
      <c r="C242" s="100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102"/>
      <c r="B243" s="4"/>
      <c r="C243" s="100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102"/>
      <c r="B244" s="4"/>
      <c r="C244" s="100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102"/>
      <c r="B245" s="4"/>
      <c r="C245" s="100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102"/>
      <c r="B246" s="4"/>
      <c r="C246" s="100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102"/>
      <c r="B247" s="4"/>
      <c r="C247" s="100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102"/>
      <c r="B248" s="4"/>
      <c r="C248" s="100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102"/>
      <c r="B249" s="4"/>
      <c r="C249" s="100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102"/>
      <c r="B250" s="4"/>
      <c r="C250" s="100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102"/>
      <c r="B251" s="4"/>
      <c r="C251" s="100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102"/>
      <c r="B252" s="4"/>
      <c r="C252" s="100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102"/>
      <c r="B253" s="4"/>
      <c r="C253" s="100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102"/>
      <c r="B254" s="4"/>
      <c r="C254" s="100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102"/>
      <c r="B255" s="4"/>
      <c r="C255" s="100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102"/>
      <c r="B256" s="4"/>
      <c r="C256" s="100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102"/>
      <c r="B257" s="4"/>
      <c r="C257" s="100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102"/>
      <c r="B258" s="4"/>
      <c r="C258" s="100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102"/>
      <c r="B259" s="4"/>
      <c r="C259" s="100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102"/>
      <c r="B260" s="4"/>
      <c r="C260" s="100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102"/>
      <c r="B261" s="4"/>
      <c r="C261" s="100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102"/>
      <c r="B262" s="4"/>
      <c r="C262" s="100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102"/>
      <c r="B263" s="4"/>
      <c r="C263" s="100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102"/>
      <c r="B264" s="4"/>
      <c r="C264" s="100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102"/>
      <c r="B265" s="4"/>
      <c r="C265" s="100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102"/>
      <c r="B266" s="4"/>
      <c r="C266" s="100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102"/>
      <c r="B267" s="4"/>
      <c r="C267" s="100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68" spans="1:29" s="53" customFormat="1" ht="10.5" customHeight="1" x14ac:dyDescent="0.25">
      <c r="A268" s="102"/>
      <c r="B268" s="4"/>
      <c r="C268" s="100"/>
      <c r="I268" s="2"/>
      <c r="J268" s="2"/>
      <c r="K268" s="4"/>
      <c r="L268" s="2"/>
      <c r="M268" s="2"/>
      <c r="N268" s="2"/>
      <c r="O268" s="2"/>
      <c r="P268" s="4"/>
      <c r="Q268" s="2"/>
      <c r="R268" s="2"/>
      <c r="S268" s="12"/>
      <c r="T268" s="2"/>
      <c r="U268" s="2"/>
      <c r="V268" s="2"/>
      <c r="W268" s="2"/>
      <c r="X268" s="2"/>
      <c r="Y268" s="13"/>
      <c r="Z268" s="52"/>
      <c r="AA268" s="52"/>
      <c r="AB268" s="52"/>
      <c r="AC268" s="52"/>
    </row>
    <row r="269" spans="1:29" s="53" customFormat="1" ht="10.5" customHeight="1" x14ac:dyDescent="0.25">
      <c r="A269" s="102"/>
      <c r="B269" s="4"/>
      <c r="C269" s="100"/>
      <c r="I269" s="2"/>
      <c r="J269" s="2"/>
      <c r="K269" s="4"/>
      <c r="L269" s="2"/>
      <c r="M269" s="2"/>
      <c r="N269" s="2"/>
      <c r="O269" s="2"/>
      <c r="P269" s="4"/>
      <c r="Q269" s="2"/>
      <c r="R269" s="2"/>
      <c r="S269" s="12"/>
      <c r="T269" s="2"/>
      <c r="U269" s="2"/>
      <c r="V269" s="2"/>
      <c r="W269" s="2"/>
      <c r="X269" s="2"/>
      <c r="Y269" s="13"/>
      <c r="Z269" s="52"/>
      <c r="AA269" s="52"/>
      <c r="AB269" s="52"/>
      <c r="AC269" s="52"/>
    </row>
    <row r="270" spans="1:29" s="53" customFormat="1" ht="10.5" customHeight="1" x14ac:dyDescent="0.25">
      <c r="A270" s="102"/>
      <c r="B270" s="4"/>
      <c r="C270" s="100"/>
      <c r="I270" s="2"/>
      <c r="J270" s="2"/>
      <c r="K270" s="4"/>
      <c r="L270" s="2"/>
      <c r="M270" s="2"/>
      <c r="N270" s="2"/>
      <c r="O270" s="2"/>
      <c r="P270" s="4"/>
      <c r="Q270" s="2"/>
      <c r="R270" s="2"/>
      <c r="S270" s="12"/>
      <c r="T270" s="2"/>
      <c r="U270" s="2"/>
      <c r="V270" s="2"/>
      <c r="W270" s="2"/>
      <c r="X270" s="2"/>
      <c r="Y270" s="13"/>
      <c r="Z270" s="52"/>
      <c r="AA270" s="52"/>
      <c r="AB270" s="52"/>
      <c r="AC270" s="52"/>
    </row>
    <row r="271" spans="1:29" s="53" customFormat="1" ht="10.5" customHeight="1" x14ac:dyDescent="0.25">
      <c r="A271" s="102"/>
      <c r="B271" s="4"/>
      <c r="C271" s="100"/>
      <c r="I271" s="2"/>
      <c r="J271" s="2"/>
      <c r="K271" s="4"/>
      <c r="L271" s="2"/>
      <c r="M271" s="2"/>
      <c r="N271" s="2"/>
      <c r="O271" s="2"/>
      <c r="P271" s="4"/>
      <c r="Q271" s="2"/>
      <c r="R271" s="2"/>
      <c r="S271" s="12"/>
      <c r="T271" s="2"/>
      <c r="U271" s="2"/>
      <c r="V271" s="2"/>
      <c r="W271" s="2"/>
      <c r="X271" s="2"/>
      <c r="Y271" s="13"/>
      <c r="Z271" s="52"/>
      <c r="AA271" s="52"/>
      <c r="AB271" s="52"/>
      <c r="AC271" s="52"/>
    </row>
    <row r="272" spans="1:29" s="53" customFormat="1" ht="10.5" customHeight="1" x14ac:dyDescent="0.25">
      <c r="A272" s="102"/>
      <c r="B272" s="4"/>
      <c r="C272" s="100"/>
      <c r="I272" s="2"/>
      <c r="J272" s="2"/>
      <c r="K272" s="4"/>
      <c r="L272" s="2"/>
      <c r="M272" s="2"/>
      <c r="N272" s="2"/>
      <c r="O272" s="2"/>
      <c r="P272" s="4"/>
      <c r="Q272" s="2"/>
      <c r="R272" s="2"/>
      <c r="S272" s="12"/>
      <c r="T272" s="2"/>
      <c r="U272" s="2"/>
      <c r="V272" s="2"/>
      <c r="W272" s="2"/>
      <c r="X272" s="2"/>
      <c r="Y272" s="13"/>
      <c r="Z272" s="52"/>
      <c r="AA272" s="52"/>
      <c r="AB272" s="52"/>
      <c r="AC272" s="52"/>
    </row>
    <row r="273" spans="1:29" s="53" customFormat="1" ht="10.5" customHeight="1" x14ac:dyDescent="0.25">
      <c r="A273" s="102"/>
      <c r="B273" s="4"/>
      <c r="C273" s="100"/>
      <c r="I273" s="2"/>
      <c r="J273" s="2"/>
      <c r="K273" s="4"/>
      <c r="L273" s="2"/>
      <c r="M273" s="2"/>
      <c r="N273" s="2"/>
      <c r="O273" s="2"/>
      <c r="P273" s="4"/>
      <c r="Q273" s="2"/>
      <c r="R273" s="2"/>
      <c r="S273" s="12"/>
      <c r="T273" s="2"/>
      <c r="U273" s="2"/>
      <c r="V273" s="2"/>
      <c r="W273" s="2"/>
      <c r="X273" s="2"/>
      <c r="Y273" s="13"/>
      <c r="Z273" s="52"/>
      <c r="AA273" s="52"/>
      <c r="AB273" s="52"/>
      <c r="AC273" s="52"/>
    </row>
    <row r="274" spans="1:29" s="53" customFormat="1" ht="10.5" customHeight="1" x14ac:dyDescent="0.25">
      <c r="A274" s="102"/>
      <c r="B274" s="4"/>
      <c r="C274" s="100"/>
      <c r="I274" s="2"/>
      <c r="J274" s="2"/>
      <c r="K274" s="4"/>
      <c r="L274" s="2"/>
      <c r="M274" s="2"/>
      <c r="N274" s="2"/>
      <c r="O274" s="2"/>
      <c r="P274" s="4"/>
      <c r="Q274" s="2"/>
      <c r="R274" s="2"/>
      <c r="S274" s="12"/>
      <c r="T274" s="2"/>
      <c r="U274" s="2"/>
      <c r="V274" s="2"/>
      <c r="W274" s="2"/>
      <c r="X274" s="2"/>
      <c r="Y274" s="13"/>
      <c r="Z274" s="52"/>
      <c r="AA274" s="52"/>
      <c r="AB274" s="52"/>
      <c r="AC274" s="52"/>
    </row>
    <row r="275" spans="1:29" s="53" customFormat="1" ht="10.5" customHeight="1" x14ac:dyDescent="0.25">
      <c r="A275" s="102"/>
      <c r="B275" s="4"/>
      <c r="C275" s="100"/>
      <c r="I275" s="2"/>
      <c r="J275" s="2"/>
      <c r="K275" s="4"/>
      <c r="L275" s="2"/>
      <c r="M275" s="2"/>
      <c r="N275" s="2"/>
      <c r="O275" s="2"/>
      <c r="P275" s="4"/>
      <c r="Q275" s="2"/>
      <c r="R275" s="2"/>
      <c r="S275" s="12"/>
      <c r="T275" s="2"/>
      <c r="U275" s="2"/>
      <c r="V275" s="2"/>
      <c r="W275" s="2"/>
      <c r="X275" s="2"/>
      <c r="Y275" s="13"/>
      <c r="Z275" s="52"/>
      <c r="AA275" s="52"/>
      <c r="AB275" s="52"/>
      <c r="AC275" s="52"/>
    </row>
    <row r="276" spans="1:29" s="53" customFormat="1" ht="10.5" customHeight="1" x14ac:dyDescent="0.25">
      <c r="A276" s="102"/>
      <c r="B276" s="4"/>
      <c r="C276" s="100"/>
      <c r="I276" s="2"/>
      <c r="J276" s="2"/>
      <c r="K276" s="4"/>
      <c r="L276" s="2"/>
      <c r="M276" s="2"/>
      <c r="N276" s="2"/>
      <c r="O276" s="2"/>
      <c r="P276" s="4"/>
      <c r="Q276" s="2"/>
      <c r="R276" s="2"/>
      <c r="S276" s="12"/>
      <c r="T276" s="2"/>
      <c r="U276" s="2"/>
      <c r="V276" s="2"/>
      <c r="W276" s="2"/>
      <c r="X276" s="2"/>
      <c r="Y276" s="13"/>
      <c r="Z276" s="52"/>
      <c r="AA276" s="52"/>
      <c r="AB276" s="52"/>
      <c r="AC276" s="52"/>
    </row>
    <row r="277" spans="1:29" s="53" customFormat="1" ht="10.5" customHeight="1" x14ac:dyDescent="0.25">
      <c r="A277" s="102"/>
      <c r="B277" s="4"/>
      <c r="C277" s="100"/>
      <c r="I277" s="2"/>
      <c r="J277" s="2"/>
      <c r="K277" s="4"/>
      <c r="L277" s="2"/>
      <c r="M277" s="2"/>
      <c r="N277" s="2"/>
      <c r="O277" s="2"/>
      <c r="P277" s="4"/>
      <c r="Q277" s="2"/>
      <c r="R277" s="2"/>
      <c r="S277" s="12"/>
      <c r="T277" s="2"/>
      <c r="U277" s="2"/>
      <c r="V277" s="2"/>
      <c r="W277" s="2"/>
      <c r="X277" s="2"/>
      <c r="Y277" s="13"/>
      <c r="Z277" s="52"/>
      <c r="AA277" s="52"/>
      <c r="AB277" s="52"/>
      <c r="AC277" s="52"/>
    </row>
    <row r="278" spans="1:29" s="53" customFormat="1" ht="10.5" customHeight="1" x14ac:dyDescent="0.25">
      <c r="A278" s="102"/>
      <c r="B278" s="4"/>
      <c r="C278" s="100"/>
      <c r="I278" s="2"/>
      <c r="J278" s="2"/>
      <c r="K278" s="4"/>
      <c r="L278" s="2"/>
      <c r="M278" s="2"/>
      <c r="N278" s="2"/>
      <c r="O278" s="2"/>
      <c r="P278" s="4"/>
      <c r="Q278" s="2"/>
      <c r="R278" s="2"/>
      <c r="S278" s="12"/>
      <c r="T278" s="2"/>
      <c r="U278" s="2"/>
      <c r="V278" s="2"/>
      <c r="W278" s="2"/>
      <c r="X278" s="2"/>
      <c r="Y278" s="13"/>
      <c r="Z278" s="52"/>
      <c r="AA278" s="52"/>
      <c r="AB278" s="52"/>
      <c r="AC278" s="52"/>
    </row>
    <row r="282" spans="1:29" ht="10.5" customHeight="1" x14ac:dyDescent="0.25">
      <c r="A282" s="15"/>
      <c r="B282" s="15"/>
      <c r="C282" s="15"/>
      <c r="I282" s="15"/>
      <c r="J282" s="15"/>
      <c r="L282" s="15"/>
      <c r="M282" s="15"/>
      <c r="N282" s="15"/>
      <c r="O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</row>
    <row r="283" spans="1:29" ht="10.5" customHeight="1" x14ac:dyDescent="0.25">
      <c r="A283" s="15"/>
      <c r="B283" s="15"/>
      <c r="C283" s="15"/>
      <c r="I283" s="15"/>
      <c r="J283" s="15"/>
      <c r="L283" s="15"/>
      <c r="M283" s="15"/>
      <c r="N283" s="15"/>
      <c r="O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</row>
    <row r="284" spans="1:29" ht="10.5" customHeight="1" x14ac:dyDescent="0.25">
      <c r="A284" s="15"/>
      <c r="B284" s="15"/>
      <c r="C284" s="15"/>
      <c r="I284" s="15"/>
      <c r="J284" s="15"/>
      <c r="L284" s="15"/>
      <c r="M284" s="15"/>
      <c r="N284" s="15"/>
      <c r="O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</row>
    <row r="285" spans="1:29" ht="10.5" customHeight="1" x14ac:dyDescent="0.25">
      <c r="A285" s="15"/>
      <c r="B285" s="15"/>
      <c r="C285" s="15"/>
      <c r="I285" s="15"/>
      <c r="J285" s="15"/>
      <c r="L285" s="15"/>
      <c r="M285" s="15"/>
      <c r="N285" s="15"/>
      <c r="O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</row>
    <row r="286" spans="1:29" ht="10.5" customHeight="1" x14ac:dyDescent="0.25">
      <c r="A286" s="15"/>
      <c r="B286" s="15"/>
      <c r="C286" s="15"/>
      <c r="I286" s="15"/>
      <c r="J286" s="15"/>
      <c r="L286" s="15"/>
      <c r="M286" s="15"/>
      <c r="N286" s="15"/>
      <c r="O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</row>
    <row r="287" spans="1:29" ht="10.5" customHeight="1" x14ac:dyDescent="0.25">
      <c r="A287" s="15"/>
      <c r="B287" s="15"/>
      <c r="C287" s="15"/>
      <c r="I287" s="15"/>
      <c r="J287" s="15"/>
      <c r="L287" s="15"/>
      <c r="M287" s="15"/>
      <c r="N287" s="15"/>
      <c r="O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</row>
    <row r="288" spans="1:29" ht="10.5" customHeight="1" x14ac:dyDescent="0.25">
      <c r="A288" s="15"/>
      <c r="B288" s="15"/>
      <c r="C288" s="15"/>
      <c r="I288" s="15"/>
      <c r="J288" s="15"/>
      <c r="L288" s="15"/>
      <c r="M288" s="15"/>
      <c r="N288" s="15"/>
      <c r="O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</row>
    <row r="289" spans="1:29" ht="10.5" customHeight="1" x14ac:dyDescent="0.25">
      <c r="A289" s="15"/>
      <c r="B289" s="15"/>
      <c r="C289" s="15"/>
      <c r="I289" s="15"/>
      <c r="J289" s="15"/>
      <c r="L289" s="15"/>
      <c r="M289" s="15"/>
      <c r="N289" s="15"/>
      <c r="O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</row>
    <row r="290" spans="1:29" ht="10.5" customHeight="1" x14ac:dyDescent="0.25">
      <c r="A290" s="15"/>
      <c r="B290" s="15"/>
      <c r="C290" s="15"/>
      <c r="I290" s="15"/>
      <c r="J290" s="15"/>
      <c r="L290" s="15"/>
      <c r="M290" s="15"/>
      <c r="N290" s="15"/>
      <c r="O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</row>
    <row r="291" spans="1:29" ht="10.5" customHeight="1" x14ac:dyDescent="0.25">
      <c r="A291" s="15"/>
      <c r="B291" s="15"/>
      <c r="C291" s="15"/>
      <c r="I291" s="15"/>
      <c r="J291" s="15"/>
      <c r="L291" s="15"/>
      <c r="M291" s="15"/>
      <c r="N291" s="15"/>
      <c r="O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</row>
    <row r="292" spans="1:29" ht="10.5" customHeight="1" x14ac:dyDescent="0.25">
      <c r="A292" s="15"/>
      <c r="B292" s="15"/>
      <c r="C292" s="15"/>
      <c r="I292" s="15"/>
      <c r="J292" s="15"/>
      <c r="L292" s="15"/>
      <c r="M292" s="15"/>
      <c r="N292" s="15"/>
      <c r="O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</row>
  </sheetData>
  <sheetProtection algorithmName="SHA-512" hashValue="vPmQ2AmsneQTxCIL3HaHg52VUy0wCpv999oQIcL1oQN4wlJdlA8ITiMhRSD5a+TvXtlq3rnrA/EKuMHJjvjUwA==" saltValue="L+5aLiBTVqduDpnUzZAQrg==" spinCount="100000" sheet="1" objects="1" scenarios="1" formatColumns="0" formatRows="0"/>
  <dataConsolidate link="1"/>
  <mergeCells count="13">
    <mergeCell ref="E122:G122"/>
    <mergeCell ref="A6:A11"/>
    <mergeCell ref="D21:F21"/>
    <mergeCell ref="D24:G24"/>
    <mergeCell ref="H24:H26"/>
    <mergeCell ref="D25:D26"/>
    <mergeCell ref="E25:E26"/>
    <mergeCell ref="F25:F26"/>
    <mergeCell ref="A33:A37"/>
    <mergeCell ref="D56:D57"/>
    <mergeCell ref="F56:F57"/>
    <mergeCell ref="D58:D59"/>
    <mergeCell ref="F58:F59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76:E92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7 G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3 G117:G119">
      <formula1>900</formula1>
    </dataValidation>
    <dataValidation type="decimal" allowBlank="1" showErrorMessage="1" errorTitle="Ошибка" error="Допускается ввод только действительных чисел!" sqref="G65:G66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1 E62:E63">
      <formula1>900</formula1>
    </dataValidation>
    <dataValidation type="decimal" allowBlank="1" showErrorMessage="1" errorTitle="Ошибка" error="Допускается ввод только действительных чисел!" sqref="G68:G72 G115:G116 G101:G106 G109 G112 G17 G94 G74 G76:G92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20 G33 F8 G37">
      <formula1>900</formula1>
    </dataValidation>
    <dataValidation type="decimal" allowBlank="1" showErrorMessage="1" errorTitle="Ошибка" error="Допускается ввод только неотрицательных чисел!" sqref="G29 G58 G60 G67 G2 G34:G36 G39:G56 G31 G8:G10 G4 G13 G95:G100 G15 G62:G63">
      <formula1>0</formula1>
      <formula2>9.99999999999999E+23</formula2>
    </dataValidation>
  </dataValidations>
  <hyperlinks>
    <hyperlink ref="G73" location="'Форма 4.3.1'!$G$73" tooltip="Кликните по гиперссылке, чтобы перейти по гиперссылке или отредактировать её" display="https://portal.eias.ru/Portal/DownloadPage.aspx?type=12&amp;guid=3637cd45-32ed-4c02-8eb3-188e9b9ea6e3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C275"/>
  <sheetViews>
    <sheetView showGridLines="0" tabSelected="1" topLeftCell="C76" zoomScaleNormal="100" workbookViewId="0">
      <selection activeCell="H87" sqref="H87"/>
    </sheetView>
  </sheetViews>
  <sheetFormatPr defaultRowHeight="10.5" customHeight="1" x14ac:dyDescent="0.25"/>
  <cols>
    <col min="1" max="1" width="19.140625" style="110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10"/>
      <c r="C1" s="3"/>
      <c r="G1" s="2">
        <v>4</v>
      </c>
      <c r="K1" s="4"/>
      <c r="P1" s="4"/>
    </row>
    <row r="2" spans="1:29" s="2" customFormat="1" ht="22.5" hidden="1" x14ac:dyDescent="0.25">
      <c r="A2" s="110"/>
      <c r="C2" s="5"/>
      <c r="D2" s="6"/>
      <c r="E2" s="7"/>
      <c r="F2" s="111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16"/>
      <c r="D4" s="17"/>
      <c r="E4" s="7"/>
      <c r="F4" s="111" t="s">
        <v>2</v>
      </c>
      <c r="G4" s="18"/>
      <c r="H4" s="19" t="s">
        <v>3</v>
      </c>
      <c r="I4" s="11"/>
    </row>
    <row r="5" spans="1:29" ht="10.5" hidden="1" customHeight="1" x14ac:dyDescent="0.25"/>
    <row r="6" spans="1:29" ht="22.5" hidden="1" x14ac:dyDescent="0.25">
      <c r="A6" s="120"/>
      <c r="B6" s="4" t="s">
        <v>4</v>
      </c>
      <c r="C6" s="16"/>
      <c r="D6" s="21">
        <f>A6</f>
        <v>0</v>
      </c>
      <c r="E6" s="22"/>
      <c r="F6" s="111" t="s">
        <v>5</v>
      </c>
      <c r="G6" s="111" t="s">
        <v>5</v>
      </c>
      <c r="H6" s="19" t="s">
        <v>6</v>
      </c>
      <c r="I6" s="11"/>
    </row>
    <row r="7" spans="1:29" s="2" customFormat="1" ht="11.25" hidden="1" x14ac:dyDescent="0.25">
      <c r="A7" s="120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22.5" hidden="1" x14ac:dyDescent="0.25">
      <c r="A8" s="120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20"/>
      <c r="C9" s="16"/>
      <c r="D9" s="21" t="str">
        <f>A6&amp;".2"</f>
        <v>.2</v>
      </c>
      <c r="E9" s="28" t="s">
        <v>10</v>
      </c>
      <c r="F9" s="111" t="s">
        <v>0</v>
      </c>
      <c r="G9" s="9"/>
      <c r="H9" s="19"/>
      <c r="I9" s="11"/>
    </row>
    <row r="10" spans="1:29" ht="18.75" hidden="1" x14ac:dyDescent="0.25">
      <c r="A10" s="120"/>
      <c r="C10" s="16"/>
      <c r="D10" s="21" t="str">
        <f>A6&amp;".3"</f>
        <v>.3</v>
      </c>
      <c r="E10" s="28" t="s">
        <v>11</v>
      </c>
      <c r="F10" s="111" t="s">
        <v>0</v>
      </c>
      <c r="G10" s="9"/>
      <c r="H10" s="19"/>
      <c r="I10" s="11"/>
    </row>
    <row r="11" spans="1:29" ht="18.75" hidden="1" x14ac:dyDescent="0.25">
      <c r="A11" s="120"/>
      <c r="C11" s="16"/>
      <c r="D11" s="21" t="str">
        <f>A6&amp;".4"</f>
        <v>.4</v>
      </c>
      <c r="E11" s="28" t="s">
        <v>12</v>
      </c>
      <c r="F11" s="111" t="s">
        <v>5</v>
      </c>
      <c r="G11" s="30"/>
      <c r="H11" s="19"/>
      <c r="I11" s="11"/>
    </row>
    <row r="12" spans="1:29" ht="10.5" hidden="1" customHeight="1" x14ac:dyDescent="0.25"/>
    <row r="13" spans="1:29" ht="22.5" hidden="1" x14ac:dyDescent="0.25">
      <c r="C13" s="16"/>
      <c r="D13" s="17"/>
      <c r="E13" s="7"/>
      <c r="F13" s="111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22.5" hidden="1" x14ac:dyDescent="0.25">
      <c r="C15" s="16"/>
      <c r="D15" s="17"/>
      <c r="E15" s="7"/>
      <c r="F15" s="111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18.75" hidden="1" x14ac:dyDescent="0.25">
      <c r="C17" s="16"/>
      <c r="D17" s="17"/>
      <c r="E17" s="7"/>
      <c r="F17" s="111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110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29" t="s">
        <v>18</v>
      </c>
      <c r="E21" s="130"/>
      <c r="F21" s="131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32" t="s">
        <v>19</v>
      </c>
      <c r="E24" s="132"/>
      <c r="F24" s="132"/>
      <c r="G24" s="132"/>
      <c r="H24" s="132" t="s">
        <v>20</v>
      </c>
    </row>
    <row r="25" spans="1:24" ht="101.25" x14ac:dyDescent="0.25">
      <c r="D25" s="132" t="s">
        <v>21</v>
      </c>
      <c r="E25" s="133" t="s">
        <v>22</v>
      </c>
      <c r="F25" s="133" t="s">
        <v>23</v>
      </c>
      <c r="G25" s="36" t="s">
        <v>321</v>
      </c>
      <c r="H25" s="132"/>
    </row>
    <row r="26" spans="1:24" ht="21" customHeight="1" x14ac:dyDescent="0.25">
      <c r="D26" s="132"/>
      <c r="E26" s="133"/>
      <c r="F26" s="133"/>
      <c r="G26" s="112" t="s">
        <v>25</v>
      </c>
      <c r="H26" s="132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33.75" x14ac:dyDescent="0.25">
      <c r="C28" s="16"/>
      <c r="D28" s="17" t="s">
        <v>26</v>
      </c>
      <c r="E28" s="40" t="s">
        <v>29</v>
      </c>
      <c r="F28" s="111" t="s">
        <v>5</v>
      </c>
      <c r="G28" s="41" t="str">
        <f>IF(buhg_flag="да",IF(dateBuhg="","Не указана",dateBuhg),"Не осуществлялась")</f>
        <v>25.03.2020</v>
      </c>
      <c r="H28" s="19" t="s">
        <v>30</v>
      </c>
      <c r="I28" s="11"/>
    </row>
    <row r="29" spans="1:24" ht="22.5" x14ac:dyDescent="0.25">
      <c r="C29" s="16"/>
      <c r="D29" s="17" t="s">
        <v>27</v>
      </c>
      <c r="E29" s="40" t="s">
        <v>31</v>
      </c>
      <c r="F29" s="111" t="s">
        <v>0</v>
      </c>
      <c r="G29" s="42">
        <v>7435.0370000000003</v>
      </c>
      <c r="H29" s="19" t="s">
        <v>32</v>
      </c>
      <c r="I29" s="11"/>
    </row>
    <row r="30" spans="1:24" ht="22.5" x14ac:dyDescent="0.25">
      <c r="C30" s="16"/>
      <c r="D30" s="17" t="s">
        <v>28</v>
      </c>
      <c r="E30" s="40" t="s">
        <v>33</v>
      </c>
      <c r="F30" s="111" t="s">
        <v>0</v>
      </c>
      <c r="G30" s="43">
        <f>SUM(G31:G32,G39,G42:G50,G53,G56,G60)</f>
        <v>9965.3586999999989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111" t="s">
        <v>0</v>
      </c>
      <c r="G31" s="42">
        <v>0</v>
      </c>
      <c r="H31" s="19"/>
      <c r="I31" s="11"/>
    </row>
    <row r="32" spans="1:24" ht="18.75" x14ac:dyDescent="0.25">
      <c r="C32" s="16"/>
      <c r="D32" s="17" t="s">
        <v>37</v>
      </c>
      <c r="E32" s="44" t="s">
        <v>38</v>
      </c>
      <c r="F32" s="111" t="s">
        <v>0</v>
      </c>
      <c r="G32" s="43">
        <f>SUMIF($E33:$E38,$E7,G33:G38)</f>
        <v>0</v>
      </c>
      <c r="H32" s="19" t="s">
        <v>39</v>
      </c>
      <c r="I32" s="11"/>
    </row>
    <row r="33" spans="1:29" s="53" customFormat="1" ht="5.25" hidden="1" x14ac:dyDescent="0.25">
      <c r="A33" s="119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19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19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19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19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s="2" customFormat="1" ht="18" customHeight="1" x14ac:dyDescent="0.25">
      <c r="A38" s="110"/>
      <c r="C38" s="58"/>
      <c r="D38" s="59"/>
      <c r="E38" s="60" t="s">
        <v>51</v>
      </c>
      <c r="F38" s="61"/>
      <c r="G38" s="62"/>
      <c r="H38" s="63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22.5" x14ac:dyDescent="0.25">
      <c r="A39" s="110"/>
      <c r="C39" s="64"/>
      <c r="D39" s="17" t="s">
        <v>52</v>
      </c>
      <c r="E39" s="44" t="s">
        <v>53</v>
      </c>
      <c r="F39" s="111" t="s">
        <v>0</v>
      </c>
      <c r="G39" s="42">
        <f>113.012+37.349</f>
        <v>150.36099999999999</v>
      </c>
      <c r="H39" s="19"/>
      <c r="I39" s="11"/>
      <c r="K39" s="4"/>
      <c r="P39" s="4"/>
      <c r="S39" s="12"/>
      <c r="Y39" s="13"/>
      <c r="Z39" s="13"/>
      <c r="AA39" s="13"/>
      <c r="AB39" s="13"/>
      <c r="AC39" s="13"/>
    </row>
    <row r="40" spans="1:29" s="2" customFormat="1" ht="18.75" x14ac:dyDescent="0.25">
      <c r="A40" s="110"/>
      <c r="C40" s="65"/>
      <c r="D40" s="17" t="s">
        <v>54</v>
      </c>
      <c r="E40" s="66" t="s">
        <v>55</v>
      </c>
      <c r="F40" s="111" t="s">
        <v>56</v>
      </c>
      <c r="G40" s="42">
        <f>G39/G41</f>
        <v>5.2964528514565492</v>
      </c>
      <c r="H40" s="19"/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18.75" x14ac:dyDescent="0.25">
      <c r="A41" s="110"/>
      <c r="C41" s="16"/>
      <c r="D41" s="17" t="s">
        <v>57</v>
      </c>
      <c r="E41" s="66" t="s">
        <v>58</v>
      </c>
      <c r="F41" s="111" t="s">
        <v>59</v>
      </c>
      <c r="G41" s="67">
        <f>21.408+6.981</f>
        <v>28.389000000000003</v>
      </c>
      <c r="H41" s="19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22.5" x14ac:dyDescent="0.25">
      <c r="A42" s="110"/>
      <c r="C42" s="16"/>
      <c r="D42" s="17" t="s">
        <v>60</v>
      </c>
      <c r="E42" s="44" t="s">
        <v>61</v>
      </c>
      <c r="F42" s="111" t="s">
        <v>0</v>
      </c>
      <c r="G42" s="42">
        <v>1.365</v>
      </c>
      <c r="H42" s="19"/>
      <c r="I42" s="11"/>
      <c r="K42" s="4"/>
      <c r="P42" s="4"/>
      <c r="S42" s="12"/>
      <c r="Y42" s="13"/>
      <c r="Z42" s="13"/>
      <c r="AA42" s="13"/>
      <c r="AB42" s="13"/>
      <c r="AC42" s="13"/>
    </row>
    <row r="43" spans="1:29" s="2" customFormat="1" ht="22.5" x14ac:dyDescent="0.25">
      <c r="A43" s="110"/>
      <c r="C43" s="16"/>
      <c r="D43" s="17" t="s">
        <v>62</v>
      </c>
      <c r="E43" s="44" t="s">
        <v>63</v>
      </c>
      <c r="F43" s="111" t="s">
        <v>0</v>
      </c>
      <c r="G43" s="42">
        <v>0</v>
      </c>
      <c r="H43" s="19"/>
      <c r="I43" s="11"/>
      <c r="K43" s="68"/>
      <c r="L43" s="3"/>
      <c r="M43" s="3"/>
      <c r="P43" s="4"/>
      <c r="S43" s="12"/>
      <c r="Y43" s="13"/>
      <c r="Z43" s="13"/>
      <c r="AA43" s="13"/>
      <c r="AB43" s="13"/>
      <c r="AC43" s="13"/>
    </row>
    <row r="44" spans="1:29" s="2" customFormat="1" ht="22.5" x14ac:dyDescent="0.25">
      <c r="A44" s="110"/>
      <c r="C44" s="65"/>
      <c r="D44" s="17" t="s">
        <v>64</v>
      </c>
      <c r="E44" s="44" t="s">
        <v>65</v>
      </c>
      <c r="F44" s="111" t="s">
        <v>0</v>
      </c>
      <c r="G44" s="42">
        <f>2679.1371+268.7383</f>
        <v>2947.8753999999999</v>
      </c>
      <c r="H44" s="19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110"/>
      <c r="C45" s="16"/>
      <c r="D45" s="17" t="s">
        <v>66</v>
      </c>
      <c r="E45" s="44" t="s">
        <v>67</v>
      </c>
      <c r="F45" s="111" t="s">
        <v>0</v>
      </c>
      <c r="G45" s="42">
        <f>813.174+85.4184</f>
        <v>898.5924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22.5" x14ac:dyDescent="0.25">
      <c r="A46" s="110"/>
      <c r="C46" s="65"/>
      <c r="D46" s="17" t="s">
        <v>68</v>
      </c>
      <c r="E46" s="44" t="s">
        <v>69</v>
      </c>
      <c r="F46" s="111" t="s">
        <v>0</v>
      </c>
      <c r="G46" s="42">
        <f>440.3529+25.4019+296.4289+30.3091+446.1684+27.9604+35.1754+2.8065+248.2591+24.0917</f>
        <v>1576.9542999999999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22.5" x14ac:dyDescent="0.25">
      <c r="A47" s="110"/>
      <c r="C47" s="16"/>
      <c r="D47" s="17" t="s">
        <v>70</v>
      </c>
      <c r="E47" s="44" t="s">
        <v>71</v>
      </c>
      <c r="F47" s="111" t="s">
        <v>0</v>
      </c>
      <c r="G47" s="42">
        <f>1252.275+122.257-G45</f>
        <v>475.93960000000015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110"/>
      <c r="C48" s="16"/>
      <c r="D48" s="17" t="s">
        <v>72</v>
      </c>
      <c r="E48" s="44" t="s">
        <v>73</v>
      </c>
      <c r="F48" s="111" t="s">
        <v>0</v>
      </c>
      <c r="G48" s="42">
        <v>3321.2759999999998</v>
      </c>
      <c r="H48" s="19"/>
      <c r="I48" s="11"/>
      <c r="K48" s="68"/>
      <c r="L48" s="3"/>
      <c r="M48" s="3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110"/>
      <c r="C49" s="16"/>
      <c r="D49" s="17" t="s">
        <v>74</v>
      </c>
      <c r="E49" s="44" t="s">
        <v>75</v>
      </c>
      <c r="F49" s="111" t="s">
        <v>0</v>
      </c>
      <c r="G49" s="42">
        <v>0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18.75" x14ac:dyDescent="0.25">
      <c r="A50" s="110"/>
      <c r="C50" s="16"/>
      <c r="D50" s="17" t="s">
        <v>76</v>
      </c>
      <c r="E50" s="44" t="s">
        <v>77</v>
      </c>
      <c r="F50" s="111" t="s">
        <v>0</v>
      </c>
      <c r="G50" s="42">
        <v>0</v>
      </c>
      <c r="H50" s="19" t="s">
        <v>78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18.75" x14ac:dyDescent="0.25">
      <c r="A51" s="110"/>
      <c r="C51" s="16"/>
      <c r="D51" s="17" t="s">
        <v>79</v>
      </c>
      <c r="E51" s="66" t="s">
        <v>80</v>
      </c>
      <c r="F51" s="111" t="s">
        <v>0</v>
      </c>
      <c r="G51" s="42">
        <v>0</v>
      </c>
      <c r="H51" s="19" t="s">
        <v>81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18.75" x14ac:dyDescent="0.25">
      <c r="A52" s="110"/>
      <c r="C52" s="16"/>
      <c r="D52" s="17" t="s">
        <v>82</v>
      </c>
      <c r="E52" s="66" t="s">
        <v>83</v>
      </c>
      <c r="F52" s="111" t="s">
        <v>0</v>
      </c>
      <c r="G52" s="42">
        <v>0</v>
      </c>
      <c r="H52" s="19" t="s">
        <v>84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18.75" x14ac:dyDescent="0.25">
      <c r="A53" s="110"/>
      <c r="C53" s="16"/>
      <c r="D53" s="17" t="s">
        <v>85</v>
      </c>
      <c r="E53" s="44" t="s">
        <v>86</v>
      </c>
      <c r="F53" s="111" t="s">
        <v>0</v>
      </c>
      <c r="G53" s="42">
        <v>0</v>
      </c>
      <c r="H53" s="19" t="s">
        <v>87</v>
      </c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18.75" x14ac:dyDescent="0.25">
      <c r="A54" s="110"/>
      <c r="C54" s="16"/>
      <c r="D54" s="17" t="s">
        <v>88</v>
      </c>
      <c r="E54" s="66" t="s">
        <v>80</v>
      </c>
      <c r="F54" s="111" t="s">
        <v>0</v>
      </c>
      <c r="G54" s="42">
        <v>0</v>
      </c>
      <c r="H54" s="19" t="s">
        <v>89</v>
      </c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18.75" x14ac:dyDescent="0.25">
      <c r="A55" s="110"/>
      <c r="C55" s="16"/>
      <c r="D55" s="17" t="s">
        <v>90</v>
      </c>
      <c r="E55" s="66" t="s">
        <v>83</v>
      </c>
      <c r="F55" s="111" t="s">
        <v>0</v>
      </c>
      <c r="G55" s="42">
        <v>0</v>
      </c>
      <c r="H55" s="19" t="s">
        <v>91</v>
      </c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22.5" x14ac:dyDescent="0.25">
      <c r="A56" s="110"/>
      <c r="C56" s="16"/>
      <c r="D56" s="121" t="s">
        <v>92</v>
      </c>
      <c r="E56" s="44" t="s">
        <v>93</v>
      </c>
      <c r="F56" s="123" t="s">
        <v>0</v>
      </c>
      <c r="G56" s="42">
        <f>68.848+71.873</f>
        <v>140.721</v>
      </c>
      <c r="H56" s="19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45" x14ac:dyDescent="0.25">
      <c r="A57" s="110"/>
      <c r="C57" s="16"/>
      <c r="D57" s="122"/>
      <c r="E57" s="66" t="s">
        <v>94</v>
      </c>
      <c r="F57" s="124"/>
      <c r="G57" s="69" t="s">
        <v>95</v>
      </c>
      <c r="H57" s="19"/>
      <c r="I57" s="11"/>
      <c r="K57" s="4" t="e">
        <f ca="1">nerr(MATCH("есть",List01_flag_index_1,0))</f>
        <v>#NAME?</v>
      </c>
      <c r="P57" s="4"/>
      <c r="S57" s="12"/>
      <c r="Y57" s="13"/>
      <c r="Z57" s="13"/>
      <c r="AA57" s="13"/>
      <c r="AB57" s="13"/>
      <c r="AC57" s="13"/>
    </row>
    <row r="58" spans="1:29" s="4" customFormat="1" ht="5.25" hidden="1" x14ac:dyDescent="0.25">
      <c r="A58" s="113"/>
      <c r="C58" s="45"/>
      <c r="D58" s="125"/>
      <c r="E58" s="71"/>
      <c r="F58" s="127"/>
      <c r="G58" s="56"/>
      <c r="H58" s="50"/>
      <c r="S58" s="51"/>
      <c r="Y58" s="52"/>
      <c r="Z58" s="52"/>
      <c r="AA58" s="52"/>
      <c r="AB58" s="52"/>
      <c r="AC58" s="52"/>
    </row>
    <row r="59" spans="1:29" s="4" customFormat="1" ht="5.25" hidden="1" x14ac:dyDescent="0.25">
      <c r="A59" s="113"/>
      <c r="C59" s="45"/>
      <c r="D59" s="126"/>
      <c r="E59" s="72"/>
      <c r="F59" s="128"/>
      <c r="G59" s="73" t="s">
        <v>95</v>
      </c>
      <c r="H59" s="50"/>
      <c r="K59" s="4" t="e">
        <f ca="1">nerr(MATCH("есть",List01_flag_index_2,0))</f>
        <v>#NAME?</v>
      </c>
      <c r="S59" s="51"/>
      <c r="Y59" s="52"/>
      <c r="Z59" s="52"/>
      <c r="AA59" s="52"/>
      <c r="AB59" s="52"/>
      <c r="AC59" s="52"/>
    </row>
    <row r="60" spans="1:29" s="2" customFormat="1" ht="22.5" x14ac:dyDescent="0.25">
      <c r="A60" s="110"/>
      <c r="C60" s="16"/>
      <c r="D60" s="114" t="s">
        <v>96</v>
      </c>
      <c r="E60" s="75" t="s">
        <v>97</v>
      </c>
      <c r="F60" s="115" t="s">
        <v>0</v>
      </c>
      <c r="G60" s="77">
        <f>SUM(G61:G64)</f>
        <v>452.274</v>
      </c>
      <c r="H60" s="19" t="s">
        <v>98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18.75" hidden="1" x14ac:dyDescent="0.25">
      <c r="A61" s="110"/>
      <c r="C61" s="16"/>
      <c r="D61" s="6" t="s">
        <v>99</v>
      </c>
      <c r="E61" s="66"/>
      <c r="F61" s="111"/>
      <c r="G61" s="78"/>
      <c r="H61" s="79"/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22.5" x14ac:dyDescent="0.25">
      <c r="A62" s="110"/>
      <c r="C62" s="57" t="s">
        <v>42</v>
      </c>
      <c r="D62" s="6" t="s">
        <v>100</v>
      </c>
      <c r="E62" s="80" t="s">
        <v>101</v>
      </c>
      <c r="F62" s="111" t="s">
        <v>0</v>
      </c>
      <c r="G62" s="9">
        <v>118.456</v>
      </c>
      <c r="H62" s="10" t="s">
        <v>1</v>
      </c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22.5" x14ac:dyDescent="0.25">
      <c r="A63" s="110"/>
      <c r="C63" s="57" t="s">
        <v>42</v>
      </c>
      <c r="D63" s="6" t="s">
        <v>102</v>
      </c>
      <c r="E63" s="80" t="s">
        <v>304</v>
      </c>
      <c r="F63" s="111" t="s">
        <v>0</v>
      </c>
      <c r="G63" s="9">
        <v>333.81799999999998</v>
      </c>
      <c r="H63" s="10" t="s">
        <v>1</v>
      </c>
      <c r="I63" s="11"/>
      <c r="K63" s="4"/>
      <c r="P63" s="4"/>
      <c r="S63" s="12"/>
      <c r="Y63" s="13"/>
      <c r="Z63" s="13"/>
      <c r="AA63" s="13"/>
      <c r="AB63" s="13"/>
      <c r="AC63" s="13"/>
    </row>
    <row r="64" spans="1:29" s="2" customFormat="1" ht="18.75" x14ac:dyDescent="0.25">
      <c r="A64" s="110"/>
      <c r="C64" s="58"/>
      <c r="D64" s="59"/>
      <c r="E64" s="60" t="s">
        <v>104</v>
      </c>
      <c r="F64" s="61"/>
      <c r="G64" s="62"/>
      <c r="H64" s="63"/>
      <c r="I64" s="11"/>
      <c r="K64" s="4"/>
      <c r="P64" s="4"/>
      <c r="S64" s="12"/>
      <c r="Y64" s="13"/>
      <c r="Z64" s="13"/>
      <c r="AA64" s="13"/>
      <c r="AB64" s="13"/>
      <c r="AC64" s="13"/>
    </row>
    <row r="65" spans="1:29" s="2" customFormat="1" ht="22.5" x14ac:dyDescent="0.25">
      <c r="A65" s="110"/>
      <c r="C65" s="16"/>
      <c r="D65" s="17" t="s">
        <v>105</v>
      </c>
      <c r="E65" s="40" t="s">
        <v>106</v>
      </c>
      <c r="F65" s="111" t="s">
        <v>0</v>
      </c>
      <c r="G65" s="42">
        <f>G29-G30</f>
        <v>-2530.3216999999986</v>
      </c>
      <c r="H65" s="19"/>
      <c r="I65" s="11"/>
      <c r="K65" s="4"/>
      <c r="P65" s="4"/>
      <c r="S65" s="12"/>
      <c r="Y65" s="13"/>
      <c r="Z65" s="13"/>
      <c r="AA65" s="13"/>
      <c r="AB65" s="13"/>
      <c r="AC65" s="13"/>
    </row>
    <row r="66" spans="1:29" s="2" customFormat="1" ht="22.5" x14ac:dyDescent="0.25">
      <c r="A66" s="110"/>
      <c r="C66" s="65"/>
      <c r="D66" s="17" t="s">
        <v>107</v>
      </c>
      <c r="E66" s="40" t="s">
        <v>108</v>
      </c>
      <c r="F66" s="111" t="s">
        <v>0</v>
      </c>
      <c r="G66" s="42">
        <v>0</v>
      </c>
      <c r="H66" s="19" t="s">
        <v>109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33.75" x14ac:dyDescent="0.25">
      <c r="A67" s="110"/>
      <c r="C67" s="16"/>
      <c r="D67" s="17" t="s">
        <v>110</v>
      </c>
      <c r="E67" s="44" t="s">
        <v>111</v>
      </c>
      <c r="F67" s="111" t="s">
        <v>0</v>
      </c>
      <c r="G67" s="42">
        <v>0</v>
      </c>
      <c r="H67" s="1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18.75" x14ac:dyDescent="0.25">
      <c r="A68" s="110"/>
      <c r="C68" s="16"/>
      <c r="D68" s="17" t="s">
        <v>112</v>
      </c>
      <c r="E68" s="40" t="s">
        <v>113</v>
      </c>
      <c r="F68" s="111" t="s">
        <v>0</v>
      </c>
      <c r="G68" s="42">
        <f>G69+G72</f>
        <v>30811</v>
      </c>
      <c r="H68" s="19" t="s">
        <v>114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22.5" x14ac:dyDescent="0.25">
      <c r="A69" s="110"/>
      <c r="C69" s="16"/>
      <c r="D69" s="17" t="s">
        <v>115</v>
      </c>
      <c r="E69" s="44" t="s">
        <v>116</v>
      </c>
      <c r="F69" s="111" t="s">
        <v>0</v>
      </c>
      <c r="G69" s="42">
        <v>30811</v>
      </c>
      <c r="H69" s="19" t="s">
        <v>117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22.5" x14ac:dyDescent="0.25">
      <c r="A70" s="110"/>
      <c r="C70" s="16"/>
      <c r="D70" s="17" t="s">
        <v>118</v>
      </c>
      <c r="E70" s="66" t="s">
        <v>119</v>
      </c>
      <c r="F70" s="111" t="s">
        <v>0</v>
      </c>
      <c r="G70" s="42">
        <v>30811</v>
      </c>
      <c r="H70" s="19" t="s">
        <v>120</v>
      </c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110"/>
      <c r="C71" s="16"/>
      <c r="D71" s="17" t="s">
        <v>121</v>
      </c>
      <c r="E71" s="66" t="s">
        <v>122</v>
      </c>
      <c r="F71" s="111" t="s">
        <v>0</v>
      </c>
      <c r="G71" s="42">
        <v>0</v>
      </c>
      <c r="H71" s="19" t="s">
        <v>123</v>
      </c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110"/>
      <c r="C72" s="16"/>
      <c r="D72" s="17" t="s">
        <v>124</v>
      </c>
      <c r="E72" s="44" t="s">
        <v>125</v>
      </c>
      <c r="F72" s="111" t="s">
        <v>0</v>
      </c>
      <c r="G72" s="42">
        <v>0</v>
      </c>
      <c r="H72" s="19"/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33.75" x14ac:dyDescent="0.25">
      <c r="A73" s="110"/>
      <c r="C73" s="16"/>
      <c r="D73" s="17" t="s">
        <v>126</v>
      </c>
      <c r="E73" s="40" t="s">
        <v>127</v>
      </c>
      <c r="F73" s="111" t="s">
        <v>128</v>
      </c>
      <c r="G73" s="82" t="s">
        <v>129</v>
      </c>
      <c r="H73" s="19" t="s">
        <v>130</v>
      </c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45" x14ac:dyDescent="0.25">
      <c r="A74" s="110"/>
      <c r="C74" s="16"/>
      <c r="D74" s="17" t="s">
        <v>131</v>
      </c>
      <c r="E74" s="40" t="s">
        <v>132</v>
      </c>
      <c r="F74" s="111" t="s">
        <v>16</v>
      </c>
      <c r="G74" s="42">
        <v>0</v>
      </c>
      <c r="H74" s="19" t="s">
        <v>133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53" customFormat="1" ht="5.25" hidden="1" x14ac:dyDescent="0.25">
      <c r="A75" s="113"/>
      <c r="B75" s="4"/>
      <c r="C75" s="45"/>
      <c r="D75" s="83" t="s">
        <v>134</v>
      </c>
      <c r="E75" s="84"/>
      <c r="F75" s="116"/>
      <c r="G75" s="86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51"/>
      <c r="T75" s="4"/>
      <c r="U75" s="4"/>
      <c r="V75" s="4"/>
      <c r="W75" s="4"/>
      <c r="X75" s="4"/>
      <c r="Y75" s="52"/>
      <c r="Z75" s="52"/>
      <c r="AA75" s="52"/>
      <c r="AB75" s="52"/>
      <c r="AC75" s="52"/>
    </row>
    <row r="76" spans="1:29" ht="22.5" x14ac:dyDescent="0.25">
      <c r="C76" s="58"/>
      <c r="D76" s="59"/>
      <c r="E76" s="89" t="s">
        <v>175</v>
      </c>
      <c r="F76" s="61"/>
      <c r="G76" s="62"/>
      <c r="H76" s="90" t="s">
        <v>176</v>
      </c>
      <c r="I76" s="11"/>
    </row>
    <row r="77" spans="1:29" s="2" customFormat="1" ht="22.5" x14ac:dyDescent="0.25">
      <c r="A77" s="110"/>
      <c r="C77" s="16"/>
      <c r="D77" s="17" t="s">
        <v>177</v>
      </c>
      <c r="E77" s="44" t="s">
        <v>178</v>
      </c>
      <c r="F77" s="111" t="s">
        <v>16</v>
      </c>
      <c r="G77" s="42">
        <v>79.266599999999997</v>
      </c>
      <c r="H77" s="19" t="s">
        <v>179</v>
      </c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22.5" x14ac:dyDescent="0.25">
      <c r="A78" s="110"/>
      <c r="C78" s="16"/>
      <c r="D78" s="17" t="s">
        <v>180</v>
      </c>
      <c r="E78" s="44" t="s">
        <v>181</v>
      </c>
      <c r="F78" s="111" t="s">
        <v>182</v>
      </c>
      <c r="G78" s="67">
        <v>0</v>
      </c>
      <c r="H78" s="19" t="s">
        <v>183</v>
      </c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18.75" x14ac:dyDescent="0.25">
      <c r="A79" s="110"/>
      <c r="C79" s="16"/>
      <c r="D79" s="17" t="s">
        <v>184</v>
      </c>
      <c r="E79" s="44" t="s">
        <v>185</v>
      </c>
      <c r="F79" s="111" t="s">
        <v>182</v>
      </c>
      <c r="G79" s="18"/>
      <c r="H79" s="19" t="s">
        <v>186</v>
      </c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33.75" x14ac:dyDescent="0.25">
      <c r="A80" s="110"/>
      <c r="C80" s="16"/>
      <c r="D80" s="17" t="s">
        <v>187</v>
      </c>
      <c r="E80" s="44" t="s">
        <v>188</v>
      </c>
      <c r="F80" s="111" t="s">
        <v>182</v>
      </c>
      <c r="G80" s="67">
        <f>79.2666*((20+1.2)/(20+23))*4008/1000</f>
        <v>156.6337510548837</v>
      </c>
      <c r="H80" s="19" t="s">
        <v>189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2" customFormat="1" ht="18.75" x14ac:dyDescent="0.25">
      <c r="A81" s="110"/>
      <c r="C81" s="16"/>
      <c r="D81" s="17" t="s">
        <v>190</v>
      </c>
      <c r="E81" s="66" t="s">
        <v>191</v>
      </c>
      <c r="F81" s="111" t="s">
        <v>182</v>
      </c>
      <c r="G81" s="67">
        <v>0</v>
      </c>
      <c r="H81" s="19"/>
      <c r="I81" s="11"/>
      <c r="K81" s="4"/>
      <c r="P81" s="4"/>
      <c r="S81" s="12"/>
      <c r="Y81" s="13"/>
      <c r="Z81" s="13"/>
      <c r="AA81" s="13"/>
      <c r="AB81" s="13"/>
      <c r="AC81" s="13"/>
    </row>
    <row r="82" spans="1:29" s="2" customFormat="1" ht="45" x14ac:dyDescent="0.25">
      <c r="A82" s="110"/>
      <c r="C82" s="16"/>
      <c r="D82" s="17" t="s">
        <v>192</v>
      </c>
      <c r="E82" s="28" t="s">
        <v>193</v>
      </c>
      <c r="F82" s="111" t="s">
        <v>182</v>
      </c>
      <c r="G82" s="67">
        <v>0</v>
      </c>
      <c r="H82" s="19"/>
      <c r="I82" s="11"/>
      <c r="K82" s="4"/>
      <c r="P82" s="4"/>
      <c r="S82" s="12"/>
      <c r="Y82" s="13"/>
      <c r="Z82" s="13"/>
      <c r="AA82" s="13"/>
      <c r="AB82" s="13"/>
      <c r="AC82" s="13"/>
    </row>
    <row r="83" spans="1:29" s="2" customFormat="1" ht="22.5" x14ac:dyDescent="0.25">
      <c r="A83" s="110"/>
      <c r="C83" s="16"/>
      <c r="D83" s="17" t="s">
        <v>194</v>
      </c>
      <c r="E83" s="44" t="s">
        <v>195</v>
      </c>
      <c r="F83" s="111" t="s">
        <v>182</v>
      </c>
      <c r="G83" s="67">
        <f>G80</f>
        <v>156.6337510548837</v>
      </c>
      <c r="H83" s="19"/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22.5" x14ac:dyDescent="0.25">
      <c r="A84" s="110"/>
      <c r="C84" s="16"/>
      <c r="D84" s="17" t="s">
        <v>196</v>
      </c>
      <c r="E84" s="40" t="s">
        <v>197</v>
      </c>
      <c r="F84" s="111" t="s">
        <v>198</v>
      </c>
      <c r="G84" s="42">
        <f>6325*1000000/12</f>
        <v>527083333.33333331</v>
      </c>
      <c r="H84" s="19"/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22.5" x14ac:dyDescent="0.25">
      <c r="A85" s="110"/>
      <c r="C85" s="16"/>
      <c r="D85" s="17" t="s">
        <v>199</v>
      </c>
      <c r="E85" s="40" t="s">
        <v>200</v>
      </c>
      <c r="F85" s="111" t="s">
        <v>201</v>
      </c>
      <c r="G85" s="42">
        <v>0</v>
      </c>
      <c r="H85" s="19"/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22.5" x14ac:dyDescent="0.25">
      <c r="A86" s="110"/>
      <c r="C86" s="16"/>
      <c r="D86" s="17" t="s">
        <v>202</v>
      </c>
      <c r="E86" s="44" t="s">
        <v>203</v>
      </c>
      <c r="F86" s="111" t="s">
        <v>201</v>
      </c>
      <c r="G86" s="42">
        <v>0</v>
      </c>
      <c r="H86" s="19" t="s">
        <v>204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ht="22.5" x14ac:dyDescent="0.25">
      <c r="C87" s="16"/>
      <c r="D87" s="17" t="s">
        <v>205</v>
      </c>
      <c r="E87" s="40" t="s">
        <v>206</v>
      </c>
      <c r="F87" s="111" t="s">
        <v>207</v>
      </c>
      <c r="G87" s="42">
        <v>12</v>
      </c>
      <c r="H87" s="19"/>
      <c r="I87" s="11"/>
    </row>
    <row r="88" spans="1:29" ht="22.5" x14ac:dyDescent="0.25">
      <c r="C88" s="16"/>
      <c r="D88" s="17" t="s">
        <v>208</v>
      </c>
      <c r="E88" s="40" t="s">
        <v>209</v>
      </c>
      <c r="F88" s="111" t="s">
        <v>207</v>
      </c>
      <c r="G88" s="42">
        <v>2</v>
      </c>
      <c r="H88" s="19"/>
      <c r="I88" s="11"/>
    </row>
    <row r="89" spans="1:29" ht="56.25" x14ac:dyDescent="0.25">
      <c r="C89" s="16"/>
      <c r="D89" s="17" t="s">
        <v>210</v>
      </c>
      <c r="E89" s="40" t="s">
        <v>211</v>
      </c>
      <c r="F89" s="111" t="s">
        <v>2</v>
      </c>
      <c r="G89" s="67">
        <v>0</v>
      </c>
      <c r="H89" s="19" t="s">
        <v>212</v>
      </c>
      <c r="I89" s="11"/>
    </row>
    <row r="90" spans="1:29" s="53" customFormat="1" ht="5.25" hidden="1" x14ac:dyDescent="0.25">
      <c r="A90" s="113"/>
      <c r="B90" s="4"/>
      <c r="C90" s="45"/>
      <c r="D90" s="91" t="s">
        <v>213</v>
      </c>
      <c r="E90" s="92"/>
      <c r="F90" s="116"/>
      <c r="G90" s="86"/>
      <c r="H90" s="87"/>
      <c r="I90" s="4"/>
      <c r="J90" s="4"/>
      <c r="K90" s="4"/>
      <c r="L90" s="4"/>
      <c r="M90" s="4"/>
      <c r="N90" s="4"/>
      <c r="O90" s="4"/>
      <c r="P90" s="4"/>
      <c r="Q90" s="4"/>
      <c r="R90" s="4"/>
      <c r="S90" s="51"/>
      <c r="T90" s="4"/>
      <c r="U90" s="4"/>
      <c r="V90" s="4"/>
      <c r="W90" s="4"/>
      <c r="X90" s="4"/>
      <c r="Y90" s="52"/>
      <c r="Z90" s="52"/>
      <c r="AA90" s="52"/>
      <c r="AB90" s="52"/>
      <c r="AC90" s="52"/>
    </row>
    <row r="91" spans="1:29" ht="22.5" x14ac:dyDescent="0.25">
      <c r="C91" s="58"/>
      <c r="D91" s="59"/>
      <c r="E91" s="89" t="s">
        <v>175</v>
      </c>
      <c r="F91" s="61"/>
      <c r="G91" s="62"/>
      <c r="H91" s="90" t="s">
        <v>234</v>
      </c>
      <c r="I91" s="11"/>
    </row>
    <row r="92" spans="1:29" ht="45" x14ac:dyDescent="0.25">
      <c r="C92" s="16"/>
      <c r="D92" s="17" t="s">
        <v>235</v>
      </c>
      <c r="E92" s="40" t="s">
        <v>236</v>
      </c>
      <c r="F92" s="111" t="s">
        <v>13</v>
      </c>
      <c r="G92" s="67">
        <v>0</v>
      </c>
      <c r="H92" s="19" t="s">
        <v>237</v>
      </c>
      <c r="I92" s="11"/>
    </row>
    <row r="93" spans="1:29" s="53" customFormat="1" ht="5.25" hidden="1" x14ac:dyDescent="0.25">
      <c r="A93" s="113"/>
      <c r="B93" s="4"/>
      <c r="C93" s="45"/>
      <c r="D93" s="83" t="s">
        <v>238</v>
      </c>
      <c r="E93" s="84"/>
      <c r="F93" s="116"/>
      <c r="G93" s="86"/>
      <c r="H93" s="87"/>
      <c r="I93" s="4"/>
      <c r="J93" s="4"/>
      <c r="K93" s="4"/>
      <c r="L93" s="4"/>
      <c r="M93" s="4"/>
      <c r="N93" s="4"/>
      <c r="O93" s="4"/>
      <c r="P93" s="4"/>
      <c r="Q93" s="4"/>
      <c r="R93" s="4"/>
      <c r="S93" s="51"/>
      <c r="T93" s="4"/>
      <c r="U93" s="4"/>
      <c r="V93" s="4"/>
      <c r="W93" s="4"/>
      <c r="X93" s="4"/>
      <c r="Y93" s="52"/>
      <c r="Z93" s="52"/>
      <c r="AA93" s="52"/>
      <c r="AB93" s="52"/>
      <c r="AC93" s="52"/>
    </row>
    <row r="94" spans="1:29" ht="22.5" x14ac:dyDescent="0.25">
      <c r="C94" s="58"/>
      <c r="D94" s="59"/>
      <c r="E94" s="89" t="s">
        <v>175</v>
      </c>
      <c r="F94" s="61"/>
      <c r="G94" s="62"/>
      <c r="H94" s="90" t="s">
        <v>259</v>
      </c>
      <c r="I94" s="11"/>
    </row>
    <row r="95" spans="1:29" ht="33.75" x14ac:dyDescent="0.25">
      <c r="C95" s="16"/>
      <c r="D95" s="17" t="s">
        <v>260</v>
      </c>
      <c r="E95" s="40" t="s">
        <v>261</v>
      </c>
      <c r="F95" s="111" t="s">
        <v>13</v>
      </c>
      <c r="G95" s="67">
        <v>0</v>
      </c>
      <c r="H95" s="19" t="s">
        <v>262</v>
      </c>
      <c r="I95" s="11"/>
    </row>
    <row r="96" spans="1:29" s="53" customFormat="1" ht="5.25" hidden="1" x14ac:dyDescent="0.25">
      <c r="A96" s="113"/>
      <c r="B96" s="4"/>
      <c r="C96" s="45"/>
      <c r="D96" s="83" t="s">
        <v>263</v>
      </c>
      <c r="E96" s="84"/>
      <c r="F96" s="116"/>
      <c r="G96" s="86"/>
      <c r="H96" s="87"/>
      <c r="I96" s="4"/>
      <c r="J96" s="4"/>
      <c r="K96" s="4"/>
      <c r="L96" s="4"/>
      <c r="M96" s="4"/>
      <c r="N96" s="4"/>
      <c r="O96" s="4"/>
      <c r="P96" s="4"/>
      <c r="Q96" s="4"/>
      <c r="R96" s="4"/>
      <c r="S96" s="51"/>
      <c r="T96" s="4"/>
      <c r="U96" s="4"/>
      <c r="V96" s="4"/>
      <c r="W96" s="4"/>
      <c r="X96" s="4"/>
      <c r="Y96" s="52"/>
      <c r="Z96" s="52"/>
      <c r="AA96" s="52"/>
      <c r="AB96" s="52"/>
      <c r="AC96" s="52"/>
    </row>
    <row r="97" spans="1:29" ht="22.5" x14ac:dyDescent="0.25">
      <c r="C97" s="58"/>
      <c r="D97" s="59"/>
      <c r="E97" s="89" t="s">
        <v>175</v>
      </c>
      <c r="F97" s="61"/>
      <c r="G97" s="62"/>
      <c r="H97" s="90" t="s">
        <v>284</v>
      </c>
      <c r="I97" s="11"/>
    </row>
    <row r="98" spans="1:29" ht="33.75" x14ac:dyDescent="0.25">
      <c r="C98" s="16"/>
      <c r="D98" s="17" t="s">
        <v>285</v>
      </c>
      <c r="E98" s="40" t="s">
        <v>286</v>
      </c>
      <c r="F98" s="111" t="s">
        <v>287</v>
      </c>
      <c r="G98" s="42">
        <v>0</v>
      </c>
      <c r="H98" s="19" t="s">
        <v>288</v>
      </c>
      <c r="I98" s="11"/>
    </row>
    <row r="99" spans="1:29" ht="33.75" x14ac:dyDescent="0.25">
      <c r="C99" s="16"/>
      <c r="D99" s="17" t="s">
        <v>289</v>
      </c>
      <c r="E99" s="40" t="s">
        <v>290</v>
      </c>
      <c r="F99" s="111" t="s">
        <v>291</v>
      </c>
      <c r="G99" s="42">
        <v>0</v>
      </c>
      <c r="H99" s="19" t="s">
        <v>288</v>
      </c>
      <c r="I99" s="11"/>
    </row>
    <row r="100" spans="1:29" ht="67.5" x14ac:dyDescent="0.25">
      <c r="C100" s="16"/>
      <c r="D100" s="17" t="s">
        <v>292</v>
      </c>
      <c r="E100" s="40" t="s">
        <v>293</v>
      </c>
      <c r="F100" s="111" t="s">
        <v>128</v>
      </c>
      <c r="G100" s="93"/>
      <c r="H100" s="19" t="s">
        <v>294</v>
      </c>
      <c r="I100" s="11"/>
    </row>
    <row r="101" spans="1:29" ht="22.5" x14ac:dyDescent="0.25">
      <c r="C101" s="16"/>
      <c r="D101" s="17" t="s">
        <v>295</v>
      </c>
      <c r="E101" s="44" t="s">
        <v>296</v>
      </c>
      <c r="F101" s="111" t="s">
        <v>128</v>
      </c>
      <c r="G101" s="93"/>
      <c r="H101" s="19" t="s">
        <v>294</v>
      </c>
      <c r="I101" s="11"/>
    </row>
    <row r="102" spans="1:29" ht="22.5" x14ac:dyDescent="0.25">
      <c r="C102" s="16"/>
      <c r="D102" s="17" t="s">
        <v>297</v>
      </c>
      <c r="E102" s="44" t="s">
        <v>298</v>
      </c>
      <c r="F102" s="111" t="s">
        <v>128</v>
      </c>
      <c r="G102" s="93"/>
      <c r="H102" s="19" t="s">
        <v>294</v>
      </c>
      <c r="I102" s="11"/>
    </row>
    <row r="103" spans="1:29" s="53" customFormat="1" ht="5.25" hidden="1" x14ac:dyDescent="0.25">
      <c r="A103" s="113"/>
      <c r="B103" s="4"/>
      <c r="C103" s="45"/>
      <c r="D103" s="94"/>
      <c r="E103" s="95"/>
      <c r="F103" s="117"/>
      <c r="G103" s="97"/>
      <c r="H103" s="9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51"/>
      <c r="T103" s="4"/>
      <c r="U103" s="4"/>
      <c r="V103" s="4"/>
      <c r="W103" s="4"/>
      <c r="X103" s="4"/>
      <c r="Y103" s="52"/>
      <c r="Z103" s="52"/>
      <c r="AA103" s="52"/>
      <c r="AB103" s="52"/>
      <c r="AC103" s="52"/>
    </row>
    <row r="104" spans="1:29" ht="10.5" customHeight="1" x14ac:dyDescent="0.25">
      <c r="C104" s="16"/>
    </row>
    <row r="105" spans="1:29" ht="12.75" x14ac:dyDescent="0.25">
      <c r="C105" s="16"/>
      <c r="D105" s="98">
        <v>1</v>
      </c>
      <c r="E105" s="118" t="s">
        <v>299</v>
      </c>
      <c r="F105" s="118"/>
      <c r="G105" s="118"/>
      <c r="H105" s="99"/>
    </row>
    <row r="106" spans="1:29" s="53" customFormat="1" ht="11.25" x14ac:dyDescent="0.25">
      <c r="A106" s="113"/>
      <c r="B106" s="4"/>
      <c r="C106" s="100"/>
      <c r="E106" s="101" t="s">
        <v>300</v>
      </c>
      <c r="F106" s="15"/>
      <c r="G106" s="15"/>
      <c r="I106" s="2"/>
      <c r="J106" s="2"/>
      <c r="K106" s="4"/>
      <c r="L106" s="2"/>
      <c r="M106" s="2"/>
      <c r="N106" s="2"/>
      <c r="O106" s="2"/>
      <c r="P106" s="4"/>
      <c r="Q106" s="2"/>
      <c r="R106" s="2"/>
      <c r="S106" s="12"/>
      <c r="T106" s="2"/>
      <c r="U106" s="2"/>
      <c r="V106" s="2"/>
      <c r="W106" s="2"/>
      <c r="X106" s="2"/>
      <c r="Y106" s="13"/>
      <c r="Z106" s="52"/>
      <c r="AA106" s="52"/>
      <c r="AB106" s="52"/>
      <c r="AC106" s="52"/>
    </row>
    <row r="107" spans="1:29" s="53" customFormat="1" ht="10.5" customHeight="1" x14ac:dyDescent="0.25">
      <c r="A107" s="113"/>
      <c r="B107" s="4"/>
      <c r="C107" s="100"/>
      <c r="I107" s="2"/>
      <c r="J107" s="2"/>
      <c r="K107" s="4"/>
      <c r="L107" s="2"/>
      <c r="M107" s="2"/>
      <c r="N107" s="2"/>
      <c r="O107" s="2"/>
      <c r="P107" s="4"/>
      <c r="Q107" s="2"/>
      <c r="R107" s="2"/>
      <c r="S107" s="12"/>
      <c r="T107" s="2"/>
      <c r="U107" s="2"/>
      <c r="V107" s="2"/>
      <c r="W107" s="2"/>
      <c r="X107" s="2"/>
      <c r="Y107" s="13"/>
      <c r="Z107" s="52"/>
      <c r="AA107" s="52"/>
      <c r="AB107" s="52"/>
      <c r="AC107" s="52"/>
    </row>
    <row r="108" spans="1:29" s="53" customFormat="1" ht="10.5" customHeight="1" x14ac:dyDescent="0.25">
      <c r="A108" s="113"/>
      <c r="B108" s="4"/>
      <c r="C108" s="100"/>
      <c r="I108" s="2"/>
      <c r="J108" s="2"/>
      <c r="K108" s="4"/>
      <c r="L108" s="2"/>
      <c r="M108" s="2"/>
      <c r="N108" s="2"/>
      <c r="O108" s="2"/>
      <c r="P108" s="4"/>
      <c r="Q108" s="2"/>
      <c r="R108" s="2"/>
      <c r="S108" s="12"/>
      <c r="T108" s="2"/>
      <c r="U108" s="2"/>
      <c r="V108" s="2"/>
      <c r="W108" s="2"/>
      <c r="X108" s="2"/>
      <c r="Y108" s="13"/>
      <c r="Z108" s="52"/>
      <c r="AA108" s="52"/>
      <c r="AB108" s="52"/>
      <c r="AC108" s="52"/>
    </row>
    <row r="109" spans="1:29" s="53" customFormat="1" ht="10.5" customHeight="1" x14ac:dyDescent="0.25">
      <c r="A109" s="113"/>
      <c r="B109" s="4"/>
      <c r="C109" s="100"/>
      <c r="G109" s="52" t="str">
        <f>IF(G29-G30 &lt;&gt;G65,"WARNING","")</f>
        <v/>
      </c>
      <c r="I109" s="2"/>
      <c r="J109" s="2"/>
      <c r="K109" s="4"/>
      <c r="L109" s="2"/>
      <c r="M109" s="2"/>
      <c r="N109" s="2"/>
      <c r="O109" s="2"/>
      <c r="P109" s="4"/>
      <c r="Q109" s="2"/>
      <c r="R109" s="2"/>
      <c r="S109" s="12"/>
      <c r="T109" s="2"/>
      <c r="U109" s="2"/>
      <c r="V109" s="2"/>
      <c r="W109" s="2"/>
      <c r="X109" s="2"/>
      <c r="Y109" s="13"/>
      <c r="Z109" s="52"/>
      <c r="AA109" s="52"/>
      <c r="AB109" s="52"/>
      <c r="AC109" s="52"/>
    </row>
    <row r="110" spans="1:29" s="53" customFormat="1" ht="10.5" customHeight="1" x14ac:dyDescent="0.25">
      <c r="A110" s="113"/>
      <c r="B110" s="4"/>
      <c r="C110" s="100"/>
      <c r="I110" s="2"/>
      <c r="J110" s="2"/>
      <c r="K110" s="4"/>
      <c r="L110" s="2"/>
      <c r="M110" s="2"/>
      <c r="N110" s="2"/>
      <c r="O110" s="2"/>
      <c r="P110" s="4"/>
      <c r="Q110" s="2"/>
      <c r="R110" s="2"/>
      <c r="S110" s="12"/>
      <c r="T110" s="2"/>
      <c r="U110" s="2"/>
      <c r="V110" s="2"/>
      <c r="W110" s="2"/>
      <c r="X110" s="2"/>
      <c r="Y110" s="13"/>
      <c r="Z110" s="52"/>
      <c r="AA110" s="52"/>
      <c r="AB110" s="52"/>
      <c r="AC110" s="52"/>
    </row>
    <row r="111" spans="1:29" s="53" customFormat="1" ht="10.5" customHeight="1" x14ac:dyDescent="0.25">
      <c r="A111" s="113"/>
      <c r="B111" s="4"/>
      <c r="C111" s="100"/>
      <c r="I111" s="2"/>
      <c r="J111" s="2"/>
      <c r="K111" s="4"/>
      <c r="L111" s="2"/>
      <c r="M111" s="2"/>
      <c r="N111" s="2"/>
      <c r="O111" s="2"/>
      <c r="P111" s="4"/>
      <c r="Q111" s="2"/>
      <c r="R111" s="2"/>
      <c r="S111" s="12"/>
      <c r="T111" s="2"/>
      <c r="U111" s="2"/>
      <c r="V111" s="2"/>
      <c r="W111" s="2"/>
      <c r="X111" s="2"/>
      <c r="Y111" s="13"/>
      <c r="Z111" s="52"/>
      <c r="AA111" s="52"/>
      <c r="AB111" s="52"/>
      <c r="AC111" s="52"/>
    </row>
    <row r="112" spans="1:29" s="53" customFormat="1" ht="10.5" customHeight="1" x14ac:dyDescent="0.25">
      <c r="A112" s="113"/>
      <c r="B112" s="4"/>
      <c r="C112" s="100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52"/>
      <c r="AA112" s="52"/>
      <c r="AB112" s="52"/>
      <c r="AC112" s="52"/>
    </row>
    <row r="113" spans="1:29" s="53" customFormat="1" ht="10.5" customHeight="1" x14ac:dyDescent="0.25">
      <c r="A113" s="113"/>
      <c r="B113" s="4"/>
      <c r="C113" s="100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52"/>
      <c r="AA113" s="52"/>
      <c r="AB113" s="52"/>
      <c r="AC113" s="52"/>
    </row>
    <row r="114" spans="1:29" s="53" customFormat="1" ht="10.5" customHeight="1" x14ac:dyDescent="0.25">
      <c r="A114" s="113"/>
      <c r="B114" s="4"/>
      <c r="C114" s="100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52"/>
      <c r="AA114" s="52"/>
      <c r="AB114" s="52"/>
      <c r="AC114" s="52"/>
    </row>
    <row r="115" spans="1:29" s="53" customFormat="1" ht="10.5" customHeight="1" x14ac:dyDescent="0.25">
      <c r="A115" s="113"/>
      <c r="B115" s="4"/>
      <c r="C115" s="100"/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52"/>
      <c r="AA115" s="52"/>
      <c r="AB115" s="52"/>
      <c r="AC115" s="52"/>
    </row>
    <row r="116" spans="1:29" s="53" customFormat="1" ht="10.5" customHeight="1" x14ac:dyDescent="0.25">
      <c r="A116" s="113"/>
      <c r="B116" s="4"/>
      <c r="C116" s="100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52"/>
      <c r="AA116" s="52"/>
      <c r="AB116" s="52"/>
      <c r="AC116" s="52"/>
    </row>
    <row r="117" spans="1:29" s="53" customFormat="1" ht="10.5" customHeight="1" x14ac:dyDescent="0.25">
      <c r="A117" s="113"/>
      <c r="B117" s="4"/>
      <c r="C117" s="100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52"/>
      <c r="AA117" s="52"/>
      <c r="AB117" s="52"/>
      <c r="AC117" s="52"/>
    </row>
    <row r="118" spans="1:29" s="53" customFormat="1" ht="10.5" customHeight="1" x14ac:dyDescent="0.25">
      <c r="A118" s="113"/>
      <c r="B118" s="4"/>
      <c r="C118" s="100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52"/>
      <c r="AA118" s="52"/>
      <c r="AB118" s="52"/>
      <c r="AC118" s="52"/>
    </row>
    <row r="119" spans="1:29" s="53" customFormat="1" ht="10.5" customHeight="1" x14ac:dyDescent="0.25">
      <c r="A119" s="113"/>
      <c r="B119" s="4"/>
      <c r="C119" s="100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52"/>
      <c r="AA119" s="52"/>
      <c r="AB119" s="52"/>
      <c r="AC119" s="52"/>
    </row>
    <row r="120" spans="1:29" s="53" customFormat="1" ht="10.5" customHeight="1" x14ac:dyDescent="0.25">
      <c r="A120" s="113"/>
      <c r="B120" s="4"/>
      <c r="C120" s="100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52"/>
      <c r="AA120" s="52"/>
      <c r="AB120" s="52"/>
      <c r="AC120" s="52"/>
    </row>
    <row r="121" spans="1:29" s="53" customFormat="1" ht="10.5" customHeight="1" x14ac:dyDescent="0.25">
      <c r="A121" s="113"/>
      <c r="B121" s="4"/>
      <c r="C121" s="100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52"/>
      <c r="AA121" s="52"/>
      <c r="AB121" s="52"/>
      <c r="AC121" s="52"/>
    </row>
    <row r="122" spans="1:29" s="53" customFormat="1" ht="10.5" customHeight="1" x14ac:dyDescent="0.25">
      <c r="A122" s="113"/>
      <c r="B122" s="4"/>
      <c r="C122" s="100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52"/>
      <c r="AA122" s="52"/>
      <c r="AB122" s="52"/>
      <c r="AC122" s="52"/>
    </row>
    <row r="123" spans="1:29" s="53" customFormat="1" ht="10.5" customHeight="1" x14ac:dyDescent="0.25">
      <c r="A123" s="113"/>
      <c r="B123" s="4"/>
      <c r="C123" s="100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52"/>
      <c r="AA123" s="52"/>
      <c r="AB123" s="52"/>
      <c r="AC123" s="52"/>
    </row>
    <row r="124" spans="1:29" s="53" customFormat="1" ht="10.5" customHeight="1" x14ac:dyDescent="0.25">
      <c r="A124" s="113"/>
      <c r="B124" s="4"/>
      <c r="C124" s="100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113"/>
      <c r="B125" s="4"/>
      <c r="C125" s="100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113"/>
      <c r="B126" s="4"/>
      <c r="C126" s="100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113"/>
      <c r="B127" s="4"/>
      <c r="C127" s="100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113"/>
      <c r="B128" s="4"/>
      <c r="C128" s="100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113"/>
      <c r="B129" s="4"/>
      <c r="C129" s="100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113"/>
      <c r="B130" s="4"/>
      <c r="C130" s="100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113"/>
      <c r="B131" s="4"/>
      <c r="C131" s="100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113"/>
      <c r="B132" s="4"/>
      <c r="C132" s="100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113"/>
      <c r="B133" s="4"/>
      <c r="C133" s="100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113"/>
      <c r="B134" s="4"/>
      <c r="C134" s="100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113"/>
      <c r="B135" s="4"/>
      <c r="C135" s="100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113"/>
      <c r="B136" s="4"/>
      <c r="C136" s="100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113"/>
      <c r="B137" s="4"/>
      <c r="C137" s="100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113"/>
      <c r="B138" s="4"/>
      <c r="C138" s="100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113"/>
      <c r="B139" s="4"/>
      <c r="C139" s="100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113"/>
      <c r="B140" s="4"/>
      <c r="C140" s="100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113"/>
      <c r="B141" s="4"/>
      <c r="C141" s="100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113"/>
      <c r="B142" s="4"/>
      <c r="C142" s="100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113"/>
      <c r="B143" s="4"/>
      <c r="C143" s="100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113"/>
      <c r="B144" s="4"/>
      <c r="C144" s="100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113"/>
      <c r="B145" s="4"/>
      <c r="C145" s="100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113"/>
      <c r="B146" s="4"/>
      <c r="C146" s="100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113"/>
      <c r="B147" s="4"/>
      <c r="C147" s="100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113"/>
      <c r="B148" s="4"/>
      <c r="C148" s="100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113"/>
      <c r="B149" s="4"/>
      <c r="C149" s="100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113"/>
      <c r="B150" s="4"/>
      <c r="C150" s="100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113"/>
      <c r="B151" s="4"/>
      <c r="C151" s="100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113"/>
      <c r="B152" s="4"/>
      <c r="C152" s="100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113"/>
      <c r="B153" s="4"/>
      <c r="C153" s="100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113"/>
      <c r="B154" s="4"/>
      <c r="C154" s="100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113"/>
      <c r="B155" s="4"/>
      <c r="C155" s="100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113"/>
      <c r="B156" s="4"/>
      <c r="C156" s="100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113"/>
      <c r="B157" s="4"/>
      <c r="C157" s="100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113"/>
      <c r="B158" s="4"/>
      <c r="C158" s="100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113"/>
      <c r="B159" s="4"/>
      <c r="C159" s="100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113"/>
      <c r="B160" s="4"/>
      <c r="C160" s="100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113"/>
      <c r="B161" s="4"/>
      <c r="C161" s="100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113"/>
      <c r="B162" s="4"/>
      <c r="C162" s="100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113"/>
      <c r="B163" s="4"/>
      <c r="C163" s="100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113"/>
      <c r="B164" s="4"/>
      <c r="C164" s="100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113"/>
      <c r="B165" s="4"/>
      <c r="C165" s="100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113"/>
      <c r="B166" s="4"/>
      <c r="C166" s="100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113"/>
      <c r="B167" s="4"/>
      <c r="C167" s="100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113"/>
      <c r="B168" s="4"/>
      <c r="C168" s="100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113"/>
      <c r="B169" s="4"/>
      <c r="C169" s="100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113"/>
      <c r="B170" s="4"/>
      <c r="C170" s="100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113"/>
      <c r="B171" s="4"/>
      <c r="C171" s="100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113"/>
      <c r="B172" s="4"/>
      <c r="C172" s="100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113"/>
      <c r="B173" s="4"/>
      <c r="C173" s="100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113"/>
      <c r="B174" s="4"/>
      <c r="C174" s="100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113"/>
      <c r="B175" s="4"/>
      <c r="C175" s="100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113"/>
      <c r="B176" s="4"/>
      <c r="C176" s="100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113"/>
      <c r="B177" s="4"/>
      <c r="C177" s="100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113"/>
      <c r="B178" s="4"/>
      <c r="C178" s="100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113"/>
      <c r="B179" s="4"/>
      <c r="C179" s="100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113"/>
      <c r="B180" s="4"/>
      <c r="C180" s="100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113"/>
      <c r="B181" s="4"/>
      <c r="C181" s="100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113"/>
      <c r="B182" s="4"/>
      <c r="C182" s="100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113"/>
      <c r="B183" s="4"/>
      <c r="C183" s="100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113"/>
      <c r="B184" s="4"/>
      <c r="C184" s="100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113"/>
      <c r="B185" s="4"/>
      <c r="C185" s="100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113"/>
      <c r="B186" s="4"/>
      <c r="C186" s="100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113"/>
      <c r="B187" s="4"/>
      <c r="C187" s="100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113"/>
      <c r="B188" s="4"/>
      <c r="C188" s="100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113"/>
      <c r="B189" s="4"/>
      <c r="C189" s="100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113"/>
      <c r="B190" s="4"/>
      <c r="C190" s="100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113"/>
      <c r="B191" s="4"/>
      <c r="C191" s="100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113"/>
      <c r="B192" s="4"/>
      <c r="C192" s="100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113"/>
      <c r="B193" s="4"/>
      <c r="C193" s="100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113"/>
      <c r="B194" s="4"/>
      <c r="C194" s="100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113"/>
      <c r="B195" s="4"/>
      <c r="C195" s="100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113"/>
      <c r="B196" s="4"/>
      <c r="C196" s="100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113"/>
      <c r="B197" s="4"/>
      <c r="C197" s="100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113"/>
      <c r="B198" s="4"/>
      <c r="C198" s="100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113"/>
      <c r="B199" s="4"/>
      <c r="C199" s="100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113"/>
      <c r="B200" s="4"/>
      <c r="C200" s="100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113"/>
      <c r="B201" s="4"/>
      <c r="C201" s="100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113"/>
      <c r="B202" s="4"/>
      <c r="C202" s="100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113"/>
      <c r="B203" s="4"/>
      <c r="C203" s="100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113"/>
      <c r="B204" s="4"/>
      <c r="C204" s="100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113"/>
      <c r="B205" s="4"/>
      <c r="C205" s="100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113"/>
      <c r="B206" s="4"/>
      <c r="C206" s="100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113"/>
      <c r="B207" s="4"/>
      <c r="C207" s="100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113"/>
      <c r="B208" s="4"/>
      <c r="C208" s="100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113"/>
      <c r="B209" s="4"/>
      <c r="C209" s="100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113"/>
      <c r="B210" s="4"/>
      <c r="C210" s="100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113"/>
      <c r="B211" s="4"/>
      <c r="C211" s="100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113"/>
      <c r="B212" s="4"/>
      <c r="C212" s="100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113"/>
      <c r="B213" s="4"/>
      <c r="C213" s="100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113"/>
      <c r="B214" s="4"/>
      <c r="C214" s="100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113"/>
      <c r="B215" s="4"/>
      <c r="C215" s="100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113"/>
      <c r="B216" s="4"/>
      <c r="C216" s="100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113"/>
      <c r="B217" s="4"/>
      <c r="C217" s="100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113"/>
      <c r="B218" s="4"/>
      <c r="C218" s="100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113"/>
      <c r="B219" s="4"/>
      <c r="C219" s="100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113"/>
      <c r="B220" s="4"/>
      <c r="C220" s="100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113"/>
      <c r="B221" s="4"/>
      <c r="C221" s="100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113"/>
      <c r="B222" s="4"/>
      <c r="C222" s="100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113"/>
      <c r="B223" s="4"/>
      <c r="C223" s="100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113"/>
      <c r="B224" s="4"/>
      <c r="C224" s="100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113"/>
      <c r="B225" s="4"/>
      <c r="C225" s="100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113"/>
      <c r="B226" s="4"/>
      <c r="C226" s="100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113"/>
      <c r="B227" s="4"/>
      <c r="C227" s="100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113"/>
      <c r="B228" s="4"/>
      <c r="C228" s="100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113"/>
      <c r="B229" s="4"/>
      <c r="C229" s="100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113"/>
      <c r="B230" s="4"/>
      <c r="C230" s="100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113"/>
      <c r="B231" s="4"/>
      <c r="C231" s="100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113"/>
      <c r="B232" s="4"/>
      <c r="C232" s="100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113"/>
      <c r="B233" s="4"/>
      <c r="C233" s="100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113"/>
      <c r="B234" s="4"/>
      <c r="C234" s="100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113"/>
      <c r="B235" s="4"/>
      <c r="C235" s="100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113"/>
      <c r="B236" s="4"/>
      <c r="C236" s="100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113"/>
      <c r="B237" s="4"/>
      <c r="C237" s="100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113"/>
      <c r="B238" s="4"/>
      <c r="C238" s="100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113"/>
      <c r="B239" s="4"/>
      <c r="C239" s="100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113"/>
      <c r="B240" s="4"/>
      <c r="C240" s="100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113"/>
      <c r="B241" s="4"/>
      <c r="C241" s="100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113"/>
      <c r="B242" s="4"/>
      <c r="C242" s="100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113"/>
      <c r="B243" s="4"/>
      <c r="C243" s="100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113"/>
      <c r="B244" s="4"/>
      <c r="C244" s="100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113"/>
      <c r="B245" s="4"/>
      <c r="C245" s="100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113"/>
      <c r="B246" s="4"/>
      <c r="C246" s="100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113"/>
      <c r="B247" s="4"/>
      <c r="C247" s="100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113"/>
      <c r="B248" s="4"/>
      <c r="C248" s="100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113"/>
      <c r="B249" s="4"/>
      <c r="C249" s="100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113"/>
      <c r="B250" s="4"/>
      <c r="C250" s="100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113"/>
      <c r="B251" s="4"/>
      <c r="C251" s="100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113"/>
      <c r="B252" s="4"/>
      <c r="C252" s="100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113"/>
      <c r="B253" s="4"/>
      <c r="C253" s="100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113"/>
      <c r="B254" s="4"/>
      <c r="C254" s="100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113"/>
      <c r="B255" s="4"/>
      <c r="C255" s="100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113"/>
      <c r="B256" s="4"/>
      <c r="C256" s="100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113"/>
      <c r="B257" s="4"/>
      <c r="C257" s="100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113"/>
      <c r="B258" s="4"/>
      <c r="C258" s="100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113"/>
      <c r="B259" s="4"/>
      <c r="C259" s="100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113"/>
      <c r="B260" s="4"/>
      <c r="C260" s="100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113"/>
      <c r="B261" s="4"/>
      <c r="C261" s="100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5" spans="1:29" ht="10.5" customHeight="1" x14ac:dyDescent="0.25">
      <c r="A265" s="15"/>
      <c r="B265" s="15"/>
      <c r="C265" s="15"/>
      <c r="I265" s="15"/>
      <c r="J265" s="15"/>
      <c r="L265" s="15"/>
      <c r="M265" s="15"/>
      <c r="N265" s="15"/>
      <c r="O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</row>
    <row r="266" spans="1:29" ht="10.5" customHeight="1" x14ac:dyDescent="0.25">
      <c r="A266" s="15"/>
      <c r="B266" s="15"/>
      <c r="C266" s="15"/>
      <c r="I266" s="15"/>
      <c r="J266" s="15"/>
      <c r="L266" s="15"/>
      <c r="M266" s="15"/>
      <c r="N266" s="15"/>
      <c r="O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</row>
    <row r="267" spans="1:29" ht="10.5" customHeight="1" x14ac:dyDescent="0.25">
      <c r="A267" s="15"/>
      <c r="B267" s="15"/>
      <c r="C267" s="15"/>
      <c r="I267" s="15"/>
      <c r="J267" s="15"/>
      <c r="L267" s="15"/>
      <c r="M267" s="15"/>
      <c r="N267" s="15"/>
      <c r="O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</row>
    <row r="268" spans="1:29" ht="10.5" customHeight="1" x14ac:dyDescent="0.25">
      <c r="A268" s="15"/>
      <c r="B268" s="15"/>
      <c r="C268" s="15"/>
      <c r="I268" s="15"/>
      <c r="J268" s="15"/>
      <c r="L268" s="15"/>
      <c r="M268" s="15"/>
      <c r="N268" s="15"/>
      <c r="O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</row>
    <row r="269" spans="1:29" ht="10.5" customHeight="1" x14ac:dyDescent="0.25">
      <c r="A269" s="15"/>
      <c r="B269" s="15"/>
      <c r="C269" s="15"/>
      <c r="I269" s="15"/>
      <c r="J269" s="15"/>
      <c r="L269" s="15"/>
      <c r="M269" s="15"/>
      <c r="N269" s="15"/>
      <c r="O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</row>
    <row r="270" spans="1:29" ht="10.5" customHeight="1" x14ac:dyDescent="0.25">
      <c r="A270" s="15"/>
      <c r="B270" s="15"/>
      <c r="C270" s="15"/>
      <c r="I270" s="15"/>
      <c r="J270" s="15"/>
      <c r="L270" s="15"/>
      <c r="M270" s="15"/>
      <c r="N270" s="15"/>
      <c r="O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</row>
    <row r="271" spans="1:29" ht="10.5" customHeight="1" x14ac:dyDescent="0.25">
      <c r="A271" s="15"/>
      <c r="B271" s="15"/>
      <c r="C271" s="15"/>
      <c r="I271" s="15"/>
      <c r="J271" s="15"/>
      <c r="L271" s="15"/>
      <c r="M271" s="15"/>
      <c r="N271" s="15"/>
      <c r="O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ht="10.5" customHeight="1" x14ac:dyDescent="0.25">
      <c r="A272" s="15"/>
      <c r="B272" s="15"/>
      <c r="C272" s="15"/>
      <c r="I272" s="15"/>
      <c r="J272" s="15"/>
      <c r="L272" s="15"/>
      <c r="M272" s="15"/>
      <c r="N272" s="15"/>
      <c r="O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spans="1:29" ht="10.5" customHeight="1" x14ac:dyDescent="0.25">
      <c r="A273" s="15"/>
      <c r="B273" s="15"/>
      <c r="C273" s="15"/>
      <c r="I273" s="15"/>
      <c r="J273" s="15"/>
      <c r="L273" s="15"/>
      <c r="M273" s="15"/>
      <c r="N273" s="15"/>
      <c r="O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spans="1:29" ht="10.5" customHeight="1" x14ac:dyDescent="0.25">
      <c r="A274" s="15"/>
      <c r="B274" s="15"/>
      <c r="C274" s="15"/>
      <c r="I274" s="15"/>
      <c r="J274" s="15"/>
      <c r="L274" s="15"/>
      <c r="M274" s="15"/>
      <c r="N274" s="15"/>
      <c r="O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0.5" customHeight="1" x14ac:dyDescent="0.25">
      <c r="A275" s="15"/>
      <c r="B275" s="15"/>
      <c r="C275" s="15"/>
      <c r="I275" s="15"/>
      <c r="J275" s="15"/>
      <c r="L275" s="15"/>
      <c r="M275" s="15"/>
      <c r="N275" s="15"/>
      <c r="O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</sheetData>
  <sheetProtection algorithmName="SHA-512" hashValue="F8yvrp7V1DMK8XUMI7Prk0xDBCuhm1iMAP+4yAgyF7NhiVrgg8Y5eaKQVoUr74NPtg+Zzhwuf6JyehVMIh9jfQ==" saltValue="72MN7h9LOJpCXzbU8ACFPA==" spinCount="100000" sheet="1" objects="1" scenarios="1" formatColumns="0" formatRows="0"/>
  <dataConsolidate/>
  <mergeCells count="13">
    <mergeCell ref="A33:A37"/>
    <mergeCell ref="D56:D57"/>
    <mergeCell ref="F56:F57"/>
    <mergeCell ref="D58:D59"/>
    <mergeCell ref="F58:F59"/>
    <mergeCell ref="E105:G105"/>
    <mergeCell ref="A6:A11"/>
    <mergeCell ref="D21:F21"/>
    <mergeCell ref="D24:G24"/>
    <mergeCell ref="H24:H26"/>
    <mergeCell ref="D25:D26"/>
    <mergeCell ref="E25:E26"/>
    <mergeCell ref="F25:F26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7 G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3 G100:G102">
      <formula1>900</formula1>
    </dataValidation>
    <dataValidation type="decimal" allowBlank="1" showErrorMessage="1" errorTitle="Ошибка" error="Допускается ввод только действительных чисел!" sqref="G65:G66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1 E62:E63">
      <formula1>900</formula1>
    </dataValidation>
    <dataValidation type="decimal" allowBlank="1" showErrorMessage="1" errorTitle="Ошибка" error="Допускается ввод только действительных чисел!" sqref="G68:G72 G98:G99 G84:G89 G92 G95 G17 G77 G74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03 G33 F8 G37">
      <formula1>900</formula1>
    </dataValidation>
    <dataValidation type="decimal" allowBlank="1" showErrorMessage="1" errorTitle="Ошибка" error="Допускается ввод только неотрицательных чисел!" sqref="G29 G58 G60 G67 G2 G34:G36 G39:G56 G31 G8:G10 G4 G13 G78:G83 G15 G62:G63">
      <formula1>0</formula1>
      <formula2>9.99999999999999E+23</formula2>
    </dataValidation>
  </dataValidations>
  <hyperlinks>
    <hyperlink ref="G73" location="'Форма 4.3.1'!$G$73" tooltip="Кликните по гиперссылке, чтобы перейти по гиперссылке или отредактировать её" display="https://portal.eias.ru/Portal/DownloadPage.aspx?type=12&amp;guid=3637cd45-32ed-4c02-8eb3-188e9b9ea6e3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265</vt:i4>
      </vt:variant>
    </vt:vector>
  </HeadingPairs>
  <TitlesOfParts>
    <vt:vector size="270" baseType="lpstr">
      <vt:lpstr>Тепловая энергия</vt:lpstr>
      <vt:lpstr>Т-6 (коллектора)</vt:lpstr>
      <vt:lpstr>Т-15(коллектора)</vt:lpstr>
      <vt:lpstr>Теплоноситель</vt:lpstr>
      <vt:lpstr>Услуги по передаче ТЭ,ТН</vt:lpstr>
      <vt:lpstr>'Т-15(коллектора)'!checkCell_List01</vt:lpstr>
      <vt:lpstr>'Т-6 (коллектора)'!checkCell_List01</vt:lpstr>
      <vt:lpstr>Теплоноситель!checkCell_List01</vt:lpstr>
      <vt:lpstr>'Услуги по передаче ТЭ,ТН'!checkCell_List01</vt:lpstr>
      <vt:lpstr>checkCell_List01</vt:lpstr>
      <vt:lpstr>'Т-15(коллектора)'!et_hor_List01_2</vt:lpstr>
      <vt:lpstr>'Т-6 (коллектора)'!et_hor_List01_2</vt:lpstr>
      <vt:lpstr>Теплоноситель!et_hor_List01_2</vt:lpstr>
      <vt:lpstr>'Услуги по передаче ТЭ,ТН'!et_hor_List01_2</vt:lpstr>
      <vt:lpstr>et_hor_List01_2</vt:lpstr>
      <vt:lpstr>'Т-15(коллектора)'!et_hor_List01_3</vt:lpstr>
      <vt:lpstr>'Т-6 (коллектора)'!et_hor_List01_3</vt:lpstr>
      <vt:lpstr>Теплоноситель!et_hor_List01_3</vt:lpstr>
      <vt:lpstr>'Услуги по передаче ТЭ,ТН'!et_hor_List01_3</vt:lpstr>
      <vt:lpstr>et_hor_List01_3</vt:lpstr>
      <vt:lpstr>'Т-15(коллектора)'!et_hor_List01_4</vt:lpstr>
      <vt:lpstr>'Т-6 (коллектора)'!et_hor_List01_4</vt:lpstr>
      <vt:lpstr>Теплоноситель!et_hor_List01_4</vt:lpstr>
      <vt:lpstr>'Услуги по передаче ТЭ,ТН'!et_hor_List01_4</vt:lpstr>
      <vt:lpstr>et_hor_List01_4</vt:lpstr>
      <vt:lpstr>'Т-15(коллектора)'!et_hor_List01_5</vt:lpstr>
      <vt:lpstr>'Т-6 (коллектора)'!et_hor_List01_5</vt:lpstr>
      <vt:lpstr>Теплоноситель!et_hor_List01_5</vt:lpstr>
      <vt:lpstr>'Услуги по передаче ТЭ,ТН'!et_hor_List01_5</vt:lpstr>
      <vt:lpstr>et_hor_List01_5</vt:lpstr>
      <vt:lpstr>'Т-15(коллектора)'!et_hor_List01_6</vt:lpstr>
      <vt:lpstr>'Т-6 (коллектора)'!et_hor_List01_6</vt:lpstr>
      <vt:lpstr>Теплоноситель!et_hor_List01_6</vt:lpstr>
      <vt:lpstr>'Услуги по передаче ТЭ,ТН'!et_hor_List01_6</vt:lpstr>
      <vt:lpstr>et_hor_List01_6</vt:lpstr>
      <vt:lpstr>'Т-15(коллектора)'!et_hor_List01_7</vt:lpstr>
      <vt:lpstr>'Т-6 (коллектора)'!et_hor_List01_7</vt:lpstr>
      <vt:lpstr>Теплоноситель!et_hor_List01_7</vt:lpstr>
      <vt:lpstr>'Услуги по передаче ТЭ,ТН'!et_hor_List01_7</vt:lpstr>
      <vt:lpstr>et_hor_List01_7</vt:lpstr>
      <vt:lpstr>'Т-15(коллектора)'!et_ver_List01_1</vt:lpstr>
      <vt:lpstr>'Т-6 (коллектора)'!et_ver_List01_1</vt:lpstr>
      <vt:lpstr>Теплоноситель!et_ver_List01_1</vt:lpstr>
      <vt:lpstr>'Услуги по передаче ТЭ,ТН'!et_ver_List01_1</vt:lpstr>
      <vt:lpstr>et_ver_List01_1</vt:lpstr>
      <vt:lpstr>'Т-15(коллектора)'!List_01_prov</vt:lpstr>
      <vt:lpstr>'Т-6 (коллектора)'!List_01_prov</vt:lpstr>
      <vt:lpstr>Теплоноситель!List_01_prov</vt:lpstr>
      <vt:lpstr>'Услуги по передаче ТЭ,ТН'!List_01_prov</vt:lpstr>
      <vt:lpstr>List_01_prov</vt:lpstr>
      <vt:lpstr>'Т-15(коллектора)'!List01_2_reserve</vt:lpstr>
      <vt:lpstr>'Т-6 (коллектора)'!List01_2_reserve</vt:lpstr>
      <vt:lpstr>Теплоноситель!List01_2_reserve</vt:lpstr>
      <vt:lpstr>'Услуги по передаче ТЭ,ТН'!List01_2_reserve</vt:lpstr>
      <vt:lpstr>List01_2_reserve</vt:lpstr>
      <vt:lpstr>'Т-15(коллектора)'!List01_3_reserve</vt:lpstr>
      <vt:lpstr>'Т-6 (коллектора)'!List01_3_reserve</vt:lpstr>
      <vt:lpstr>Теплоноситель!List01_3_reserve</vt:lpstr>
      <vt:lpstr>'Услуги по передаче ТЭ,ТН'!List01_3_reserve</vt:lpstr>
      <vt:lpstr>List01_3_reserve</vt:lpstr>
      <vt:lpstr>'Т-15(коллектора)'!List01_4_reserve</vt:lpstr>
      <vt:lpstr>'Т-6 (коллектора)'!List01_4_reserve</vt:lpstr>
      <vt:lpstr>Теплоноситель!List01_4_reserve</vt:lpstr>
      <vt:lpstr>'Услуги по передаче ТЭ,ТН'!List01_4_reserve</vt:lpstr>
      <vt:lpstr>List01_4_reserve</vt:lpstr>
      <vt:lpstr>'Т-15(коллектора)'!List01_5_reserve</vt:lpstr>
      <vt:lpstr>'Т-6 (коллектора)'!List01_5_reserve</vt:lpstr>
      <vt:lpstr>Теплоноситель!List01_5_reserve</vt:lpstr>
      <vt:lpstr>'Услуги по передаче ТЭ,ТН'!List01_5_reserve</vt:lpstr>
      <vt:lpstr>List01_5_reserve</vt:lpstr>
      <vt:lpstr>'Т-15(коллектора)'!List01_6_reserve</vt:lpstr>
      <vt:lpstr>'Т-6 (коллектора)'!List01_6_reserve</vt:lpstr>
      <vt:lpstr>Теплоноситель!List01_6_reserve</vt:lpstr>
      <vt:lpstr>'Услуги по передаче ТЭ,ТН'!List01_6_reserve</vt:lpstr>
      <vt:lpstr>List01_6_reserve</vt:lpstr>
      <vt:lpstr>'Т-15(коллектора)'!List01_7_reserve</vt:lpstr>
      <vt:lpstr>'Т-6 (коллектора)'!List01_7_reserve</vt:lpstr>
      <vt:lpstr>Теплоноситель!List01_7_reserve</vt:lpstr>
      <vt:lpstr>'Услуги по передаче ТЭ,ТН'!List01_7_reserve</vt:lpstr>
      <vt:lpstr>List01_7_reserve</vt:lpstr>
      <vt:lpstr>'Т-15(коллектора)'!List01_CheckC</vt:lpstr>
      <vt:lpstr>'Т-6 (коллектора)'!List01_CheckC</vt:lpstr>
      <vt:lpstr>Теплоноситель!List01_CheckC</vt:lpstr>
      <vt:lpstr>'Услуги по передаче ТЭ,ТН'!List01_CheckC</vt:lpstr>
      <vt:lpstr>List01_CheckC</vt:lpstr>
      <vt:lpstr>'Т-15(коллектора)'!List01_costs_OPS</vt:lpstr>
      <vt:lpstr>'Т-6 (коллектора)'!List01_costs_OPS</vt:lpstr>
      <vt:lpstr>Теплоноситель!List01_costs_OPS</vt:lpstr>
      <vt:lpstr>'Услуги по передаче ТЭ,ТН'!List01_costs_OPS</vt:lpstr>
      <vt:lpstr>List01_costs_OPS</vt:lpstr>
      <vt:lpstr>'Т-15(коллектора)'!List01_costs_OPS_22</vt:lpstr>
      <vt:lpstr>'Т-6 (коллектора)'!List01_costs_OPS_22</vt:lpstr>
      <vt:lpstr>Теплоноситель!List01_costs_OPS_22</vt:lpstr>
      <vt:lpstr>'Услуги по передаче ТЭ,ТН'!List01_costs_OPS_22</vt:lpstr>
      <vt:lpstr>List01_costs_OPS_22</vt:lpstr>
      <vt:lpstr>'Т-15(коллектора)'!List01_costs_PH</vt:lpstr>
      <vt:lpstr>'Т-6 (коллектора)'!List01_costs_PH</vt:lpstr>
      <vt:lpstr>Теплоноситель!List01_costs_PH</vt:lpstr>
      <vt:lpstr>'Услуги по передаче ТЭ,ТН'!List01_costs_PH</vt:lpstr>
      <vt:lpstr>List01_costs_PH</vt:lpstr>
      <vt:lpstr>'Т-15(коллектора)'!List01_costs_PH_22</vt:lpstr>
      <vt:lpstr>'Т-6 (коллектора)'!List01_costs_PH_22</vt:lpstr>
      <vt:lpstr>Теплоноситель!List01_costs_PH_22</vt:lpstr>
      <vt:lpstr>'Услуги по передаче ТЭ,ТН'!List01_costs_PH_22</vt:lpstr>
      <vt:lpstr>List01_costs_PH_22</vt:lpstr>
      <vt:lpstr>'Т-15(коллектора)'!List01_flag_index_1</vt:lpstr>
      <vt:lpstr>'Т-6 (коллектора)'!List01_flag_index_1</vt:lpstr>
      <vt:lpstr>Теплоноситель!List01_flag_index_1</vt:lpstr>
      <vt:lpstr>'Услуги по передаче ТЭ,ТН'!List01_flag_index_1</vt:lpstr>
      <vt:lpstr>List01_flag_index_1</vt:lpstr>
      <vt:lpstr>'Т-15(коллектора)'!List01_flag_index_2</vt:lpstr>
      <vt:lpstr>'Т-6 (коллектора)'!List01_flag_index_2</vt:lpstr>
      <vt:lpstr>Теплоноситель!List01_flag_index_2</vt:lpstr>
      <vt:lpstr>'Услуги по передаче ТЭ,ТН'!List01_flag_index_2</vt:lpstr>
      <vt:lpstr>List01_flag_index_2</vt:lpstr>
      <vt:lpstr>'Т-15(коллектора)'!List01_GroundMaterials_1</vt:lpstr>
      <vt:lpstr>'Т-6 (коллектора)'!List01_GroundMaterials_1</vt:lpstr>
      <vt:lpstr>Теплоноситель!List01_GroundMaterials_1</vt:lpstr>
      <vt:lpstr>'Услуги по передаче ТЭ,ТН'!List01_GroundMaterials_1</vt:lpstr>
      <vt:lpstr>List01_GroundMaterials_1</vt:lpstr>
      <vt:lpstr>'Т-15(коллектора)'!List01_Name</vt:lpstr>
      <vt:lpstr>'Т-6 (коллектора)'!List01_Name</vt:lpstr>
      <vt:lpstr>Теплоноситель!List01_Name</vt:lpstr>
      <vt:lpstr>'Услуги по передаче ТЭ,ТН'!List01_Name</vt:lpstr>
      <vt:lpstr>List01_Name</vt:lpstr>
      <vt:lpstr>'Т-15(коллектора)'!List01_Num</vt:lpstr>
      <vt:lpstr>'Т-6 (коллектора)'!List01_Num</vt:lpstr>
      <vt:lpstr>Теплоноситель!List01_Num</vt:lpstr>
      <vt:lpstr>'Услуги по передаче ТЭ,ТН'!List01_Num</vt:lpstr>
      <vt:lpstr>List01_Num</vt:lpstr>
      <vt:lpstr>'Т-15(коллектора)'!List01_NumberColumns</vt:lpstr>
      <vt:lpstr>'Т-6 (коллектора)'!List01_NumberColumns</vt:lpstr>
      <vt:lpstr>Теплоноситель!List01_NumberColumns</vt:lpstr>
      <vt:lpstr>'Услуги по передаче ТЭ,ТН'!List01_NumberColumns</vt:lpstr>
      <vt:lpstr>List01_NumberColumns</vt:lpstr>
      <vt:lpstr>'Т-15(коллектора)'!List01_p1</vt:lpstr>
      <vt:lpstr>'Т-6 (коллектора)'!List01_p1</vt:lpstr>
      <vt:lpstr>Теплоноситель!List01_p1</vt:lpstr>
      <vt:lpstr>'Услуги по передаче ТЭ,ТН'!List01_p1</vt:lpstr>
      <vt:lpstr>List01_p1</vt:lpstr>
      <vt:lpstr>'Т-15(коллектора)'!List01_p1_minus_p3</vt:lpstr>
      <vt:lpstr>'Т-6 (коллектора)'!List01_p1_minus_p3</vt:lpstr>
      <vt:lpstr>Теплоноситель!List01_p1_minus_p3</vt:lpstr>
      <vt:lpstr>'Услуги по передаче ТЭ,ТН'!List01_p1_minus_p3</vt:lpstr>
      <vt:lpstr>List01_p1_minus_p3</vt:lpstr>
      <vt:lpstr>'Т-15(коллектора)'!List01_p11</vt:lpstr>
      <vt:lpstr>'Т-6 (коллектора)'!List01_p11</vt:lpstr>
      <vt:lpstr>Теплоноситель!List01_p11</vt:lpstr>
      <vt:lpstr>'Услуги по передаче ТЭ,ТН'!List01_p11</vt:lpstr>
      <vt:lpstr>List01_p11</vt:lpstr>
      <vt:lpstr>'Т-15(коллектора)'!List01_p12</vt:lpstr>
      <vt:lpstr>'Т-6 (коллектора)'!List01_p12</vt:lpstr>
      <vt:lpstr>Теплоноситель!List01_p12</vt:lpstr>
      <vt:lpstr>'Услуги по передаче ТЭ,ТН'!List01_p12</vt:lpstr>
      <vt:lpstr>List01_p12</vt:lpstr>
      <vt:lpstr>'Т-15(коллектора)'!List01_p16</vt:lpstr>
      <vt:lpstr>'Т-6 (коллектора)'!List01_p16</vt:lpstr>
      <vt:lpstr>Теплоноситель!List01_p16</vt:lpstr>
      <vt:lpstr>'Услуги по передаче ТЭ,ТН'!List01_p16</vt:lpstr>
      <vt:lpstr>List01_p16</vt:lpstr>
      <vt:lpstr>'Т-15(коллектора)'!List01_p16_data</vt:lpstr>
      <vt:lpstr>'Т-6 (коллектора)'!List01_p16_data</vt:lpstr>
      <vt:lpstr>Теплоноситель!List01_p16_data</vt:lpstr>
      <vt:lpstr>'Услуги по передаче ТЭ,ТН'!List01_p16_data</vt:lpstr>
      <vt:lpstr>List01_p16_data</vt:lpstr>
      <vt:lpstr>'Т-15(коллектора)'!List01_p19_20</vt:lpstr>
      <vt:lpstr>'Т-6 (коллектора)'!List01_p19_20</vt:lpstr>
      <vt:lpstr>Теплоноситель!List01_p19_20</vt:lpstr>
      <vt:lpstr>'Услуги по передаче ТЭ,ТН'!List01_p19_20</vt:lpstr>
      <vt:lpstr>List01_p19_20</vt:lpstr>
      <vt:lpstr>'Т-15(коллектора)'!List01_p2_14</vt:lpstr>
      <vt:lpstr>'Т-6 (коллектора)'!List01_p2_14</vt:lpstr>
      <vt:lpstr>Теплоноситель!List01_p2_14</vt:lpstr>
      <vt:lpstr>'Услуги по передаче ТЭ,ТН'!List01_p2_14</vt:lpstr>
      <vt:lpstr>List01_p2_14</vt:lpstr>
      <vt:lpstr>'Т-15(коллектора)'!List01_p3</vt:lpstr>
      <vt:lpstr>'Т-6 (коллектора)'!List01_p3</vt:lpstr>
      <vt:lpstr>Теплоноситель!List01_p3</vt:lpstr>
      <vt:lpstr>'Услуги по передаче ТЭ,ТН'!List01_p3</vt:lpstr>
      <vt:lpstr>List01_p3</vt:lpstr>
      <vt:lpstr>'Т-15(коллектора)'!List01_p3_10_check</vt:lpstr>
      <vt:lpstr>'Т-6 (коллектора)'!List01_p3_10_check</vt:lpstr>
      <vt:lpstr>Теплоноситель!List01_p3_10_check</vt:lpstr>
      <vt:lpstr>'Услуги по передаче ТЭ,ТН'!List01_p3_10_check</vt:lpstr>
      <vt:lpstr>List01_p3_10_check</vt:lpstr>
      <vt:lpstr>'Т-15(коллектора)'!List01_p3_11_check</vt:lpstr>
      <vt:lpstr>'Т-6 (коллектора)'!List01_p3_11_check</vt:lpstr>
      <vt:lpstr>Теплоноситель!List01_p3_11_check</vt:lpstr>
      <vt:lpstr>'Услуги по передаче ТЭ,ТН'!List01_p3_11_check</vt:lpstr>
      <vt:lpstr>List01_p3_11_check</vt:lpstr>
      <vt:lpstr>'Т-15(коллектора)'!List01_p4</vt:lpstr>
      <vt:lpstr>'Т-6 (коллектора)'!List01_p4</vt:lpstr>
      <vt:lpstr>Теплоноситель!List01_p4</vt:lpstr>
      <vt:lpstr>'Услуги по передаче ТЭ,ТН'!List01_p4</vt:lpstr>
      <vt:lpstr>List01_p4</vt:lpstr>
      <vt:lpstr>'Т-15(коллектора)'!List01_p9</vt:lpstr>
      <vt:lpstr>'Т-6 (коллектора)'!List01_p9</vt:lpstr>
      <vt:lpstr>Теплоноситель!List01_p9</vt:lpstr>
      <vt:lpstr>'Услуги по передаче ТЭ,ТН'!List01_p9</vt:lpstr>
      <vt:lpstr>List01_p9</vt:lpstr>
      <vt:lpstr>'Т-15(коллектора)'!List01_purchTE</vt:lpstr>
      <vt:lpstr>'Т-6 (коллектора)'!List01_purchTE</vt:lpstr>
      <vt:lpstr>Теплоноситель!List01_purchTE</vt:lpstr>
      <vt:lpstr>'Услуги по передаче ТЭ,ТН'!List01_purchTE</vt:lpstr>
      <vt:lpstr>List01_purchTE</vt:lpstr>
      <vt:lpstr>'Т-15(коллектора)'!List01_revenue_from_activity_80_flag</vt:lpstr>
      <vt:lpstr>'Т-6 (коллектора)'!List01_revenue_from_activity_80_flag</vt:lpstr>
      <vt:lpstr>Теплоноситель!List01_revenue_from_activity_80_flag</vt:lpstr>
      <vt:lpstr>'Услуги по передаче ТЭ,ТН'!List01_revenue_from_activity_80_flag</vt:lpstr>
      <vt:lpstr>List01_revenue_from_activity_80_flag</vt:lpstr>
      <vt:lpstr>'Т-15(коллектора)'!obj_List01_22</vt:lpstr>
      <vt:lpstr>'Т-6 (коллектора)'!obj_List01_22</vt:lpstr>
      <vt:lpstr>Теплоноситель!obj_List01_22</vt:lpstr>
      <vt:lpstr>'Услуги по передаче ТЭ,ТН'!obj_List01_22</vt:lpstr>
      <vt:lpstr>obj_List01_22</vt:lpstr>
      <vt:lpstr>'Т-15(коллектора)'!pDel_List01_2</vt:lpstr>
      <vt:lpstr>'Т-6 (коллектора)'!pDel_List01_2</vt:lpstr>
      <vt:lpstr>Теплоноситель!pDel_List01_2</vt:lpstr>
      <vt:lpstr>'Услуги по передаче ТЭ,ТН'!pDel_List01_2</vt:lpstr>
      <vt:lpstr>pDel_List01_2</vt:lpstr>
      <vt:lpstr>'Т-15(коллектора)'!pDel_List01_3</vt:lpstr>
      <vt:lpstr>'Т-6 (коллектора)'!pDel_List01_3</vt:lpstr>
      <vt:lpstr>Теплоноситель!pDel_List01_3</vt:lpstr>
      <vt:lpstr>'Услуги по передаче ТЭ,ТН'!pDel_List01_3</vt:lpstr>
      <vt:lpstr>pDel_List01_3</vt:lpstr>
      <vt:lpstr>'Т-15(коллектора)'!pDel_List01_4</vt:lpstr>
      <vt:lpstr>'Т-6 (коллектора)'!pDel_List01_4</vt:lpstr>
      <vt:lpstr>Теплоноситель!pDel_List01_4</vt:lpstr>
      <vt:lpstr>'Услуги по передаче ТЭ,ТН'!pDel_List01_4</vt:lpstr>
      <vt:lpstr>pDel_List01_4</vt:lpstr>
      <vt:lpstr>'Т-15(коллектора)'!pDel_List01_7</vt:lpstr>
      <vt:lpstr>'Т-6 (коллектора)'!pDel_List01_7</vt:lpstr>
      <vt:lpstr>Теплоноситель!pDel_List01_7</vt:lpstr>
      <vt:lpstr>'Услуги по передаче ТЭ,ТН'!pDel_List01_7</vt:lpstr>
      <vt:lpstr>pDel_List01_7</vt:lpstr>
      <vt:lpstr>'Т-15(коллектора)'!pIns_List01_1</vt:lpstr>
      <vt:lpstr>'Т-6 (коллектора)'!pIns_List01_1</vt:lpstr>
      <vt:lpstr>Теплоноситель!pIns_List01_1</vt:lpstr>
      <vt:lpstr>'Услуги по передаче ТЭ,ТН'!pIns_List01_1</vt:lpstr>
      <vt:lpstr>pIns_List01_1</vt:lpstr>
      <vt:lpstr>'Т-15(коллектора)'!pIns_List01_2</vt:lpstr>
      <vt:lpstr>'Т-6 (коллектора)'!pIns_List01_2</vt:lpstr>
      <vt:lpstr>Теплоноситель!pIns_List01_2</vt:lpstr>
      <vt:lpstr>'Услуги по передаче ТЭ,ТН'!pIns_List01_2</vt:lpstr>
      <vt:lpstr>pIns_List01_2</vt:lpstr>
      <vt:lpstr>'Т-15(коллектора)'!pIns_List01_3</vt:lpstr>
      <vt:lpstr>'Т-6 (коллектора)'!pIns_List01_3</vt:lpstr>
      <vt:lpstr>Теплоноситель!pIns_List01_3</vt:lpstr>
      <vt:lpstr>'Услуги по передаче ТЭ,ТН'!pIns_List01_3</vt:lpstr>
      <vt:lpstr>pIns_List01_3</vt:lpstr>
      <vt:lpstr>'Т-15(коллектора)'!pIns_List01_4</vt:lpstr>
      <vt:lpstr>'Т-6 (коллектора)'!pIns_List01_4</vt:lpstr>
      <vt:lpstr>Теплоноситель!pIns_List01_4</vt:lpstr>
      <vt:lpstr>'Услуги по передаче ТЭ,ТН'!pIns_List01_4</vt:lpstr>
      <vt:lpstr>pIns_List01_4</vt:lpstr>
      <vt:lpstr>'Т-15(коллектора)'!pIns_List01_5</vt:lpstr>
      <vt:lpstr>'Т-6 (коллектора)'!pIns_List01_5</vt:lpstr>
      <vt:lpstr>Теплоноситель!pIns_List01_5</vt:lpstr>
      <vt:lpstr>'Услуги по передаче ТЭ,ТН'!pIns_List01_5</vt:lpstr>
      <vt:lpstr>pIns_List01_5</vt:lpstr>
      <vt:lpstr>'Т-15(коллектора)'!pIns_List01_6</vt:lpstr>
      <vt:lpstr>'Т-6 (коллектора)'!pIns_List01_6</vt:lpstr>
      <vt:lpstr>Теплоноситель!pIns_List01_6</vt:lpstr>
      <vt:lpstr>'Услуги по передаче ТЭ,ТН'!pIns_List01_6</vt:lpstr>
      <vt:lpstr>pIns_List01_6</vt:lpstr>
      <vt:lpstr>'Т-15(коллектора)'!pIns_List01_7</vt:lpstr>
      <vt:lpstr>'Т-6 (коллектора)'!pIns_List01_7</vt:lpstr>
      <vt:lpstr>Теплоноситель!pIns_List01_7</vt:lpstr>
      <vt:lpstr>'Услуги по передаче ТЭ,ТН'!pIns_List01_7</vt:lpstr>
      <vt:lpstr>pIns_List01_7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2020-04-17T10:24:51Z</dcterms:modified>
</cp:coreProperties>
</file>